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2.xml" ContentType="application/vnd.openxmlformats-officedocument.spreadsheetml.comments+xml"/>
  <Override PartName="/xl/customProperty6.bin" ContentType="application/vnd.openxmlformats-officedocument.spreadsheetml.customProperty"/>
  <Override PartName="/xl/comments3.xml" ContentType="application/vnd.openxmlformats-officedocument.spreadsheetml.comments+xml"/>
  <Override PartName="/xl/customProperty7.bin" ContentType="application/vnd.openxmlformats-officedocument.spreadsheetml.customProperty"/>
  <Override PartName="/xl/comments4.xml" ContentType="application/vnd.openxmlformats-officedocument.spreadsheetml.comments+xml"/>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4F2462F9-7266-401B-9502-DF831B368C75}" xr6:coauthVersionLast="47" xr6:coauthVersionMax="47" xr10:uidLastSave="{00000000-0000-0000-0000-000000000000}"/>
  <bookViews>
    <workbookView xWindow="-108" yWindow="-108" windowWidth="23256" windowHeight="12456" tabRatio="775" activeTab="1" xr2:uid="{00000000-000D-0000-FFFF-FFFF00000000}"/>
  </bookViews>
  <sheets>
    <sheet name="Forside" sheetId="17" r:id="rId1"/>
    <sheet name="Takstberegning" sheetId="20" r:id="rId2"/>
    <sheet name="Fordelingsnøgler" sheetId="18" r:id="rId3"/>
    <sheet name="Budget (økonomisystem)" sheetId="2" r:id="rId4"/>
    <sheet name="Regnskab (økonomisystem)" sheetId="7" r:id="rId5"/>
    <sheet name="Overhead" sheetId="15" r:id="rId6"/>
    <sheet name="Afskrivning og forrentning" sheetId="12" r:id="rId7"/>
    <sheet name="Forrentning af likvider" sheetId="3" r:id="rId8"/>
    <sheet name="Tidligere result" sheetId="21" r:id="rId9"/>
    <sheet name="Puljer" sheetId="19" r:id="rId10"/>
  </sheets>
  <definedNames>
    <definedName name="DS_WorkbookId_7422fe64586c4663b77e4b2831717435_11917" localSheetId="3" hidden="1">"DsWorksheetID"</definedName>
    <definedName name="DS_WorkbookId_7422fe64586c4663b77e4b2831717435_25639" localSheetId="2" hidden="1">"DsWorksheetID"</definedName>
    <definedName name="DS_WorkbookId_7422fe64586c4663b77e4b2831717435_31263" localSheetId="8" hidden="1">"DsWorksheetID"</definedName>
    <definedName name="DS_WorkbookId_7422fe64586c4663b77e4b2831717435_44540" localSheetId="4" hidden="1">"DsWorksheetID"</definedName>
    <definedName name="DS_WorkbookId_7422fe64586c4663b77e4b2831717435_53668" localSheetId="1" hidden="1">"DsWorksheetID"</definedName>
    <definedName name="DS_WorkbookId_7422fe64586c4663b77e4b2831717435_73251" localSheetId="0" hidden="1">"DsWorksheetID"</definedName>
    <definedName name="DS_WorkbookId_7422fe64586c4663b77e4b2831717435_76622" localSheetId="7" hidden="1">"DsWorksheetID"</definedName>
    <definedName name="DS_WorkbookId_7422fe64586c4663b77e4b2831717435_76873" localSheetId="9" hidden="1">"DsWorksheetID"</definedName>
    <definedName name="_xlnm.Print_Area" localSheetId="6">'Afskrivning og forrentning'!$B$12:$N$44</definedName>
    <definedName name="_xlnm.Print_Titles" localSheetId="5">Overhead!$10:$31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19" l="1"/>
  <c r="C13" i="3"/>
  <c r="E70" i="15"/>
  <c r="E71" i="15"/>
  <c r="E72" i="15"/>
  <c r="E56" i="15"/>
  <c r="E57" i="15"/>
  <c r="E58" i="15"/>
  <c r="E64" i="15"/>
  <c r="E65" i="15"/>
  <c r="E44" i="15"/>
  <c r="E51" i="15"/>
  <c r="E52" i="15"/>
  <c r="E38" i="15"/>
  <c r="C25" i="15"/>
  <c r="E25" i="15" s="1"/>
  <c r="B9" i="17"/>
  <c r="A5" i="15"/>
  <c r="B5" i="12" s="1"/>
  <c r="A7" i="15" l="1"/>
  <c r="B7" i="12" s="1"/>
  <c r="A8" i="15"/>
  <c r="B8" i="12" s="1"/>
  <c r="A6" i="15"/>
  <c r="B6" i="12" s="1"/>
  <c r="B6" i="18"/>
  <c r="A7" i="18"/>
  <c r="B7" i="18"/>
  <c r="B5" i="18"/>
  <c r="A3" i="18"/>
  <c r="A3" i="12" s="1"/>
  <c r="A2" i="18"/>
  <c r="A2" i="12" s="1"/>
  <c r="A1" i="18"/>
  <c r="A1" i="12" s="1"/>
  <c r="B48" i="18"/>
  <c r="D8" i="17"/>
  <c r="D9" i="17"/>
  <c r="D7" i="17"/>
  <c r="C8" i="17"/>
  <c r="C9" i="17"/>
  <c r="C7" i="17"/>
  <c r="A8" i="17"/>
  <c r="A9" i="17"/>
  <c r="A10" i="17"/>
  <c r="A11" i="17"/>
  <c r="A7" i="17"/>
  <c r="B10" i="17"/>
  <c r="B11" i="17"/>
  <c r="E14" i="12" s="1"/>
  <c r="B8" i="17"/>
  <c r="B7" i="17"/>
  <c r="G106" i="20"/>
  <c r="H106" i="20"/>
  <c r="I106" i="20"/>
  <c r="J106" i="20"/>
  <c r="F106" i="20"/>
  <c r="F103" i="20"/>
  <c r="F105" i="20" s="1"/>
  <c r="F107" i="20" s="1"/>
  <c r="D17" i="17" s="1"/>
  <c r="H103" i="20"/>
  <c r="D47" i="18" s="1"/>
  <c r="I103" i="20"/>
  <c r="E47" i="18" s="1"/>
  <c r="J103" i="20"/>
  <c r="F47" i="18" s="1"/>
  <c r="G103" i="20"/>
  <c r="C47" i="18" s="1"/>
  <c r="G104" i="20"/>
  <c r="C48" i="18" s="1"/>
  <c r="H104" i="20"/>
  <c r="D48" i="18" s="1"/>
  <c r="I104" i="20"/>
  <c r="E48" i="18" s="1"/>
  <c r="J104" i="20"/>
  <c r="F48" i="18" s="1"/>
  <c r="F104" i="20"/>
  <c r="J94" i="20"/>
  <c r="I94" i="20"/>
  <c r="H94" i="20"/>
  <c r="G94" i="20"/>
  <c r="F94" i="20"/>
  <c r="J88" i="20"/>
  <c r="I88" i="20"/>
  <c r="H88" i="20"/>
  <c r="G88" i="20"/>
  <c r="F88" i="20"/>
  <c r="J82" i="20"/>
  <c r="I82" i="20"/>
  <c r="H82" i="20"/>
  <c r="G82" i="20"/>
  <c r="F82" i="20"/>
  <c r="F38" i="20"/>
  <c r="G38" i="20"/>
  <c r="H38" i="20"/>
  <c r="I38" i="20"/>
  <c r="J38" i="20"/>
  <c r="C63" i="15"/>
  <c r="F29" i="20"/>
  <c r="G29" i="20"/>
  <c r="H29" i="20"/>
  <c r="I29" i="20"/>
  <c r="J29" i="20"/>
  <c r="L14" i="20"/>
  <c r="L13" i="20"/>
  <c r="L12" i="20"/>
  <c r="L11" i="20"/>
  <c r="L10" i="20"/>
  <c r="C133" i="20"/>
  <c r="C129" i="20"/>
  <c r="C120" i="20"/>
  <c r="C105" i="20"/>
  <c r="C107" i="20" s="1"/>
  <c r="C131" i="20"/>
  <c r="C63" i="20"/>
  <c r="C122" i="20" s="1"/>
  <c r="C52" i="20"/>
  <c r="C44" i="20"/>
  <c r="C39" i="20"/>
  <c r="C20" i="20"/>
  <c r="C117" i="20" s="1"/>
  <c r="B20" i="20"/>
  <c r="E82" i="15" s="1"/>
  <c r="A3" i="15" l="1"/>
  <c r="A2" i="15"/>
  <c r="B47" i="18"/>
  <c r="A1" i="15"/>
  <c r="K103" i="20"/>
  <c r="J105" i="20"/>
  <c r="J107" i="20" s="1"/>
  <c r="D21" i="17" s="1"/>
  <c r="H105" i="20"/>
  <c r="H107" i="20" s="1"/>
  <c r="D19" i="17" s="1"/>
  <c r="I105" i="20"/>
  <c r="I107" i="20" s="1"/>
  <c r="D20" i="17" s="1"/>
  <c r="G105" i="20"/>
  <c r="C95" i="20"/>
  <c r="C119" i="20"/>
  <c r="C121" i="20" s="1"/>
  <c r="C123" i="20" s="1"/>
  <c r="K105" i="20" l="1"/>
  <c r="L105" i="20" s="1"/>
  <c r="G107" i="20"/>
  <c r="D18" i="17" s="1"/>
  <c r="D30" i="17" s="1"/>
  <c r="I30" i="17" s="1"/>
  <c r="C136" i="20"/>
  <c r="K107" i="20" l="1"/>
  <c r="L107" i="20" s="1"/>
  <c r="I18" i="17"/>
  <c r="G20" i="20" s="1"/>
  <c r="I19" i="17"/>
  <c r="H20" i="20" s="1"/>
  <c r="I20" i="17"/>
  <c r="I20" i="20" s="1"/>
  <c r="I21" i="17"/>
  <c r="J20" i="20" s="1"/>
  <c r="I17" i="17"/>
  <c r="F20" i="20" s="1"/>
  <c r="A29" i="17" l="1"/>
  <c r="A31" i="17"/>
  <c r="A32" i="17"/>
  <c r="A33" i="17"/>
  <c r="A30" i="17"/>
  <c r="F54" i="18"/>
  <c r="E54" i="18"/>
  <c r="D54" i="18"/>
  <c r="C54" i="18"/>
  <c r="B54" i="18"/>
  <c r="F46" i="18"/>
  <c r="E46" i="18"/>
  <c r="D46" i="18"/>
  <c r="C46" i="18"/>
  <c r="B46" i="18"/>
  <c r="F38" i="18"/>
  <c r="E38" i="18"/>
  <c r="D38" i="18"/>
  <c r="C38" i="18"/>
  <c r="B38" i="18"/>
  <c r="F32" i="18"/>
  <c r="E32" i="18"/>
  <c r="D32" i="18"/>
  <c r="C32" i="18"/>
  <c r="B32" i="18"/>
  <c r="F27" i="18"/>
  <c r="E27" i="18"/>
  <c r="D27" i="18"/>
  <c r="C27" i="18"/>
  <c r="B27" i="18"/>
  <c r="F22" i="18"/>
  <c r="E22" i="18"/>
  <c r="D22" i="18"/>
  <c r="C22" i="18"/>
  <c r="B22" i="18"/>
  <c r="F17" i="18"/>
  <c r="E17" i="18"/>
  <c r="D17" i="18"/>
  <c r="C17" i="18"/>
  <c r="B17" i="18"/>
  <c r="C12" i="18"/>
  <c r="D12" i="18"/>
  <c r="E12" i="18"/>
  <c r="F12" i="18"/>
  <c r="B12" i="18"/>
  <c r="G47" i="18" l="1"/>
  <c r="I44" i="12" l="1"/>
  <c r="J44" i="12" s="1"/>
  <c r="H44" i="12"/>
  <c r="I43" i="12"/>
  <c r="J43" i="12" s="1"/>
  <c r="H43" i="12"/>
  <c r="I42" i="12"/>
  <c r="J42" i="12" s="1"/>
  <c r="H42" i="12"/>
  <c r="I41" i="12"/>
  <c r="J41" i="12" s="1"/>
  <c r="H41" i="12"/>
  <c r="I40" i="12"/>
  <c r="J40" i="12" s="1"/>
  <c r="H40" i="12"/>
  <c r="I39" i="12"/>
  <c r="J39" i="12" s="1"/>
  <c r="H39" i="12"/>
  <c r="I38" i="12"/>
  <c r="J38" i="12" s="1"/>
  <c r="H38" i="12"/>
  <c r="I37" i="12"/>
  <c r="J37" i="12" s="1"/>
  <c r="H37" i="12"/>
  <c r="I36" i="12"/>
  <c r="J36" i="12" s="1"/>
  <c r="H36" i="12"/>
  <c r="I35" i="12"/>
  <c r="J35" i="12" s="1"/>
  <c r="H35" i="12"/>
  <c r="I34" i="12"/>
  <c r="J34" i="12" s="1"/>
  <c r="H34" i="12"/>
  <c r="I33" i="12"/>
  <c r="J33" i="12" s="1"/>
  <c r="H33" i="12"/>
  <c r="I32" i="12"/>
  <c r="J32" i="12" s="1"/>
  <c r="H32" i="12"/>
  <c r="I31" i="12"/>
  <c r="J31" i="12" s="1"/>
  <c r="H31" i="12"/>
  <c r="I30" i="12"/>
  <c r="J30" i="12" s="1"/>
  <c r="H30" i="12"/>
  <c r="I29" i="12"/>
  <c r="J29" i="12" s="1"/>
  <c r="H29" i="12"/>
  <c r="I28" i="12"/>
  <c r="J28" i="12" s="1"/>
  <c r="H28" i="12"/>
  <c r="I27" i="12"/>
  <c r="J27" i="12" s="1"/>
  <c r="H27" i="12"/>
  <c r="I26" i="12"/>
  <c r="J26" i="12" s="1"/>
  <c r="H26" i="12"/>
  <c r="I25" i="12"/>
  <c r="J25" i="12" s="1"/>
  <c r="H25" i="12"/>
  <c r="I24" i="12"/>
  <c r="J24" i="12" s="1"/>
  <c r="H24" i="12"/>
  <c r="D19" i="12"/>
  <c r="C19" i="12"/>
  <c r="K14" i="12"/>
  <c r="K13" i="12"/>
  <c r="C24" i="3"/>
  <c r="C25" i="3" s="1"/>
  <c r="D49" i="15"/>
  <c r="C49" i="15"/>
  <c r="C47" i="15" s="1"/>
  <c r="E63" i="15"/>
  <c r="E74" i="15"/>
  <c r="E73" i="15"/>
  <c r="E69" i="15"/>
  <c r="E67" i="15"/>
  <c r="E66" i="15"/>
  <c r="E62" i="15"/>
  <c r="E60" i="15"/>
  <c r="E59" i="15"/>
  <c r="E55" i="15"/>
  <c r="E53" i="15"/>
  <c r="E50" i="15"/>
  <c r="E48" i="15"/>
  <c r="E46" i="15"/>
  <c r="E45" i="15"/>
  <c r="E43" i="15"/>
  <c r="E41" i="15"/>
  <c r="E39" i="15"/>
  <c r="E37" i="15"/>
  <c r="E34" i="15"/>
  <c r="E26" i="15"/>
  <c r="E27" i="15"/>
  <c r="E28" i="15"/>
  <c r="E29" i="15"/>
  <c r="E24" i="15"/>
  <c r="G27" i="19"/>
  <c r="D35" i="19"/>
  <c r="F35" i="19" s="1"/>
  <c r="J32" i="19"/>
  <c r="C11" i="3"/>
  <c r="D42" i="15"/>
  <c r="D40" i="15" s="1"/>
  <c r="C42" i="15"/>
  <c r="C36" i="15"/>
  <c r="D36" i="15"/>
  <c r="D35" i="15"/>
  <c r="C35" i="15"/>
  <c r="E35" i="15" s="1"/>
  <c r="G28" i="18"/>
  <c r="G23" i="18"/>
  <c r="F24" i="18" s="1"/>
  <c r="J12" i="20" s="1"/>
  <c r="G18" i="18"/>
  <c r="D19" i="18" s="1"/>
  <c r="G13" i="18"/>
  <c r="E14" i="18" s="1"/>
  <c r="D61" i="15"/>
  <c r="D23" i="15"/>
  <c r="C23" i="15"/>
  <c r="D9" i="18"/>
  <c r="C9" i="18"/>
  <c r="C68" i="15"/>
  <c r="D68" i="15"/>
  <c r="C54" i="15"/>
  <c r="D54" i="15"/>
  <c r="C61" i="15"/>
  <c r="E29" i="18" l="1"/>
  <c r="I13" i="20" s="1"/>
  <c r="E42" i="15"/>
  <c r="E40" i="15" s="1"/>
  <c r="E36" i="15"/>
  <c r="E33" i="15" s="1"/>
  <c r="E23" i="15"/>
  <c r="D33" i="15"/>
  <c r="E68" i="15"/>
  <c r="E61" i="15"/>
  <c r="C33" i="15"/>
  <c r="E49" i="15"/>
  <c r="D47" i="15"/>
  <c r="E54" i="15"/>
  <c r="I10" i="20"/>
  <c r="H11" i="20"/>
  <c r="C49" i="18"/>
  <c r="D49" i="18"/>
  <c r="D33" i="17"/>
  <c r="I33" i="17" s="1"/>
  <c r="E49" i="18"/>
  <c r="B49" i="18"/>
  <c r="D31" i="17"/>
  <c r="I31" i="17" s="1"/>
  <c r="D32" i="17"/>
  <c r="I32" i="17" s="1"/>
  <c r="F49" i="18"/>
  <c r="E23" i="12"/>
  <c r="I23" i="12" s="1"/>
  <c r="J23" i="12" s="1"/>
  <c r="K23" i="12" s="1"/>
  <c r="L23" i="12" s="1"/>
  <c r="E22" i="12"/>
  <c r="E20" i="12"/>
  <c r="E21" i="12"/>
  <c r="C29" i="18"/>
  <c r="F29" i="18"/>
  <c r="B29" i="18"/>
  <c r="D14" i="18"/>
  <c r="D29" i="18"/>
  <c r="G33" i="18"/>
  <c r="E34" i="18" s="1"/>
  <c r="C19" i="18"/>
  <c r="B19" i="18"/>
  <c r="E19" i="18"/>
  <c r="F14" i="18"/>
  <c r="F9" i="18"/>
  <c r="M28" i="12"/>
  <c r="N28" i="12" s="1"/>
  <c r="K39" i="12"/>
  <c r="L39" i="12" s="1"/>
  <c r="M26" i="12"/>
  <c r="N26" i="12" s="1"/>
  <c r="K29" i="12"/>
  <c r="L29" i="12" s="1"/>
  <c r="K36" i="12"/>
  <c r="L36" i="12" s="1"/>
  <c r="M44" i="12"/>
  <c r="N44" i="12" s="1"/>
  <c r="E9" i="18"/>
  <c r="C14" i="18"/>
  <c r="E24" i="18"/>
  <c r="C40" i="15"/>
  <c r="K37" i="12"/>
  <c r="L37" i="12" s="1"/>
  <c r="B14" i="18"/>
  <c r="C24" i="18"/>
  <c r="F19" i="18"/>
  <c r="B24" i="18"/>
  <c r="E47" i="15"/>
  <c r="K25" i="12"/>
  <c r="L25" i="12" s="1"/>
  <c r="K31" i="12"/>
  <c r="L31" i="12" s="1"/>
  <c r="M32" i="12"/>
  <c r="N32" i="12" s="1"/>
  <c r="K32" i="12"/>
  <c r="L32" i="12" s="1"/>
  <c r="B9" i="18"/>
  <c r="D24" i="18"/>
  <c r="M42" i="12"/>
  <c r="N42" i="12" s="1"/>
  <c r="K24" i="12"/>
  <c r="L24" i="12" s="1"/>
  <c r="K41" i="12"/>
  <c r="L41" i="12" s="1"/>
  <c r="M35" i="12"/>
  <c r="N35" i="12" s="1"/>
  <c r="K43" i="12"/>
  <c r="L43" i="12" s="1"/>
  <c r="M33" i="12"/>
  <c r="N33" i="12" s="1"/>
  <c r="M27" i="12"/>
  <c r="N27" i="12" s="1"/>
  <c r="K44" i="12"/>
  <c r="L44" i="12" s="1"/>
  <c r="M36" i="12"/>
  <c r="N36" i="12" s="1"/>
  <c r="K18" i="12"/>
  <c r="K42" i="12"/>
  <c r="L42" i="12" s="1"/>
  <c r="M18" i="12"/>
  <c r="M37" i="12"/>
  <c r="N37" i="12" s="1"/>
  <c r="M40" i="12"/>
  <c r="N40" i="12" s="1"/>
  <c r="M38" i="12"/>
  <c r="N38" i="12" s="1"/>
  <c r="K28" i="12"/>
  <c r="L28" i="12" s="1"/>
  <c r="N18" i="12"/>
  <c r="K35" i="12"/>
  <c r="L35" i="12" s="1"/>
  <c r="M43" i="12"/>
  <c r="N43" i="12" s="1"/>
  <c r="K33" i="12"/>
  <c r="L33" i="12" s="1"/>
  <c r="K27" i="12"/>
  <c r="L27" i="12" s="1"/>
  <c r="L18" i="12"/>
  <c r="K34" i="12"/>
  <c r="L34" i="12" s="1"/>
  <c r="M24" i="12"/>
  <c r="N24" i="12" s="1"/>
  <c r="K38" i="12"/>
  <c r="L38" i="12" s="1"/>
  <c r="K40" i="12"/>
  <c r="L40" i="12" s="1"/>
  <c r="M34" i="12"/>
  <c r="N34" i="12" s="1"/>
  <c r="M30" i="12"/>
  <c r="N30" i="12" s="1"/>
  <c r="J18" i="12"/>
  <c r="M39" i="12"/>
  <c r="N39" i="12" s="1"/>
  <c r="M31" i="12"/>
  <c r="N31" i="12" s="1"/>
  <c r="M25" i="12"/>
  <c r="N25" i="12" s="1"/>
  <c r="M29" i="12"/>
  <c r="N29" i="12" s="1"/>
  <c r="M41" i="12"/>
  <c r="N41" i="12" s="1"/>
  <c r="K26" i="12"/>
  <c r="L26" i="12" s="1"/>
  <c r="K30" i="12"/>
  <c r="L30" i="12" s="1"/>
  <c r="H18" i="12"/>
  <c r="I35" i="20" l="1"/>
  <c r="I32" i="20"/>
  <c r="I33" i="20"/>
  <c r="I31" i="20"/>
  <c r="I36" i="20"/>
  <c r="I34" i="20"/>
  <c r="I37" i="20"/>
  <c r="I25" i="20"/>
  <c r="I23" i="20"/>
  <c r="I24" i="20"/>
  <c r="I30" i="20"/>
  <c r="I28" i="20"/>
  <c r="I27" i="20"/>
  <c r="I26" i="20"/>
  <c r="I20" i="12"/>
  <c r="J20" i="12" s="1"/>
  <c r="M20" i="12" s="1"/>
  <c r="N20" i="12" s="1"/>
  <c r="I22" i="12"/>
  <c r="J22" i="12" s="1"/>
  <c r="M22" i="12" s="1"/>
  <c r="N22" i="12" s="1"/>
  <c r="H22" i="12"/>
  <c r="D75" i="15"/>
  <c r="C75" i="15"/>
  <c r="E17" i="15"/>
  <c r="D34" i="17"/>
  <c r="I34" i="17" s="1"/>
  <c r="F10" i="20"/>
  <c r="J10" i="20"/>
  <c r="G10" i="20"/>
  <c r="I66" i="20"/>
  <c r="I59" i="20"/>
  <c r="I68" i="20"/>
  <c r="I69" i="20"/>
  <c r="I60" i="20"/>
  <c r="I70" i="20"/>
  <c r="I67" i="20"/>
  <c r="I61" i="20"/>
  <c r="I71" i="20"/>
  <c r="H10" i="20"/>
  <c r="H86" i="20" s="1"/>
  <c r="I14" i="20"/>
  <c r="H12" i="20"/>
  <c r="I12" i="20"/>
  <c r="G12" i="20"/>
  <c r="F12" i="20"/>
  <c r="J13" i="20"/>
  <c r="G13" i="20"/>
  <c r="I11" i="20"/>
  <c r="J11" i="20"/>
  <c r="F11" i="20"/>
  <c r="G11" i="20"/>
  <c r="H13" i="20"/>
  <c r="F13" i="20"/>
  <c r="D29" i="17"/>
  <c r="I29" i="17" s="1"/>
  <c r="G49" i="18"/>
  <c r="F34" i="18"/>
  <c r="G29" i="18"/>
  <c r="D34" i="18"/>
  <c r="H14" i="20" s="1"/>
  <c r="B34" i="18"/>
  <c r="C34" i="18"/>
  <c r="G19" i="18"/>
  <c r="G14" i="18"/>
  <c r="E75" i="15"/>
  <c r="E76" i="15" s="1"/>
  <c r="E18" i="15" s="1"/>
  <c r="G24" i="18"/>
  <c r="M23" i="12"/>
  <c r="N23" i="12" s="1"/>
  <c r="I21" i="12"/>
  <c r="H23" i="12"/>
  <c r="J86" i="20" l="1"/>
  <c r="F86" i="20"/>
  <c r="G33" i="20"/>
  <c r="G35" i="20"/>
  <c r="G31" i="20"/>
  <c r="G36" i="20"/>
  <c r="G34" i="20"/>
  <c r="G32" i="20"/>
  <c r="G37" i="20"/>
  <c r="J34" i="20"/>
  <c r="J37" i="20"/>
  <c r="J35" i="20"/>
  <c r="J33" i="20"/>
  <c r="J31" i="20"/>
  <c r="J36" i="20"/>
  <c r="J32" i="20"/>
  <c r="H80" i="20"/>
  <c r="H37" i="20"/>
  <c r="H33" i="20"/>
  <c r="H31" i="20"/>
  <c r="H36" i="20"/>
  <c r="H34" i="20"/>
  <c r="H32" i="20"/>
  <c r="H35" i="20"/>
  <c r="F81" i="20"/>
  <c r="F37" i="20"/>
  <c r="F33" i="20"/>
  <c r="F31" i="20"/>
  <c r="F36" i="20"/>
  <c r="F34" i="20"/>
  <c r="F32" i="20"/>
  <c r="F35" i="20"/>
  <c r="K20" i="12"/>
  <c r="L20" i="12" s="1"/>
  <c r="K22" i="12"/>
  <c r="L22" i="12" s="1"/>
  <c r="H20" i="12"/>
  <c r="J25" i="20"/>
  <c r="J28" i="20"/>
  <c r="J23" i="20"/>
  <c r="J26" i="20"/>
  <c r="J24" i="20"/>
  <c r="J30" i="20"/>
  <c r="J27" i="20"/>
  <c r="F23" i="20"/>
  <c r="F28" i="20"/>
  <c r="F26" i="20"/>
  <c r="F24" i="20"/>
  <c r="F27" i="20"/>
  <c r="F30" i="20"/>
  <c r="F25" i="20"/>
  <c r="H50" i="20"/>
  <c r="H23" i="20"/>
  <c r="H24" i="20"/>
  <c r="H30" i="20"/>
  <c r="H26" i="20"/>
  <c r="H27" i="20"/>
  <c r="H25" i="20"/>
  <c r="H28" i="20"/>
  <c r="G41" i="20"/>
  <c r="G86" i="20"/>
  <c r="I48" i="20"/>
  <c r="I86" i="20"/>
  <c r="G24" i="20"/>
  <c r="G23" i="20"/>
  <c r="G28" i="20"/>
  <c r="G30" i="20"/>
  <c r="G27" i="20"/>
  <c r="G25" i="20"/>
  <c r="G26" i="20"/>
  <c r="E16" i="15"/>
  <c r="C124" i="20"/>
  <c r="F50" i="20"/>
  <c r="J76" i="20"/>
  <c r="J81" i="20"/>
  <c r="I49" i="20"/>
  <c r="I50" i="20"/>
  <c r="J50" i="20"/>
  <c r="G50" i="20"/>
  <c r="H75" i="20"/>
  <c r="I41" i="20"/>
  <c r="I42" i="20"/>
  <c r="I47" i="20"/>
  <c r="I63" i="20"/>
  <c r="I80" i="20"/>
  <c r="G80" i="20"/>
  <c r="F80" i="20"/>
  <c r="J80" i="20"/>
  <c r="G60" i="20"/>
  <c r="G48" i="20"/>
  <c r="G71" i="20"/>
  <c r="G61" i="20"/>
  <c r="G66" i="20"/>
  <c r="G59" i="20"/>
  <c r="G49" i="20"/>
  <c r="G67" i="20"/>
  <c r="G42" i="20"/>
  <c r="G68" i="20"/>
  <c r="G69" i="20"/>
  <c r="G70" i="20"/>
  <c r="G47" i="20"/>
  <c r="H71" i="20"/>
  <c r="H48" i="20"/>
  <c r="H66" i="20"/>
  <c r="H67" i="20"/>
  <c r="H69" i="20"/>
  <c r="H42" i="20"/>
  <c r="H60" i="20"/>
  <c r="H68" i="20"/>
  <c r="H41" i="20"/>
  <c r="H70" i="20"/>
  <c r="H59" i="20"/>
  <c r="H47" i="20"/>
  <c r="H61" i="20"/>
  <c r="H49" i="20"/>
  <c r="J68" i="20"/>
  <c r="J49" i="20"/>
  <c r="J61" i="20"/>
  <c r="J48" i="20"/>
  <c r="J41" i="20"/>
  <c r="J47" i="20"/>
  <c r="J42" i="20"/>
  <c r="J59" i="20"/>
  <c r="J70" i="20"/>
  <c r="J66" i="20"/>
  <c r="J60" i="20"/>
  <c r="J67" i="20"/>
  <c r="J69" i="20"/>
  <c r="J71" i="20"/>
  <c r="F69" i="20"/>
  <c r="F42" i="20"/>
  <c r="F60" i="20"/>
  <c r="F71" i="20"/>
  <c r="F48" i="20"/>
  <c r="F66" i="20"/>
  <c r="F68" i="20"/>
  <c r="F41" i="20"/>
  <c r="F49" i="20"/>
  <c r="F61" i="20"/>
  <c r="F59" i="20"/>
  <c r="F70" i="20"/>
  <c r="F47" i="20"/>
  <c r="F67" i="20"/>
  <c r="K10" i="20"/>
  <c r="I76" i="20"/>
  <c r="I81" i="20"/>
  <c r="K12" i="20"/>
  <c r="F76" i="20"/>
  <c r="H76" i="20"/>
  <c r="H81" i="20"/>
  <c r="G76" i="20"/>
  <c r="G81" i="20"/>
  <c r="J14" i="20"/>
  <c r="G14" i="20"/>
  <c r="F14" i="20"/>
  <c r="K13" i="20"/>
  <c r="K11" i="20"/>
  <c r="G34" i="18"/>
  <c r="J21" i="12"/>
  <c r="J19" i="12" s="1"/>
  <c r="I19" i="12"/>
  <c r="C13" i="12" s="1"/>
  <c r="H21" i="12"/>
  <c r="I44" i="20" l="1"/>
  <c r="I54" i="20"/>
  <c r="F54" i="20"/>
  <c r="G54" i="20"/>
  <c r="J54" i="20"/>
  <c r="H54" i="20"/>
  <c r="K50" i="20"/>
  <c r="L50" i="20" s="1"/>
  <c r="H74" i="20"/>
  <c r="J75" i="20"/>
  <c r="F75" i="20"/>
  <c r="G75" i="20"/>
  <c r="I75" i="20"/>
  <c r="I52" i="20"/>
  <c r="F63" i="20"/>
  <c r="G63" i="20"/>
  <c r="F52" i="20"/>
  <c r="G52" i="20"/>
  <c r="K35" i="20"/>
  <c r="L35" i="20" s="1"/>
  <c r="L103" i="20"/>
  <c r="J52" i="20"/>
  <c r="K36" i="20"/>
  <c r="L36" i="20" s="1"/>
  <c r="J63" i="20"/>
  <c r="H63" i="20"/>
  <c r="G44" i="20"/>
  <c r="H52" i="20"/>
  <c r="K37" i="20"/>
  <c r="L37" i="20" s="1"/>
  <c r="J44" i="20"/>
  <c r="H44" i="20"/>
  <c r="F44" i="20"/>
  <c r="K68" i="20"/>
  <c r="L68" i="20" s="1"/>
  <c r="K14" i="20"/>
  <c r="K80" i="20"/>
  <c r="L80" i="20" s="1"/>
  <c r="K47" i="20"/>
  <c r="L47" i="20" s="1"/>
  <c r="K59" i="20"/>
  <c r="L59" i="20" s="1"/>
  <c r="K48" i="20"/>
  <c r="L48" i="20" s="1"/>
  <c r="K41" i="20"/>
  <c r="L41" i="20" s="1"/>
  <c r="K31" i="20"/>
  <c r="L31" i="20" s="1"/>
  <c r="K71" i="20"/>
  <c r="L71" i="20" s="1"/>
  <c r="K33" i="20"/>
  <c r="L33" i="20" s="1"/>
  <c r="K25" i="20"/>
  <c r="L25" i="20" s="1"/>
  <c r="K61" i="20"/>
  <c r="L61" i="20" s="1"/>
  <c r="K70" i="20"/>
  <c r="L70" i="20" s="1"/>
  <c r="K66" i="20"/>
  <c r="L66" i="20" s="1"/>
  <c r="K60" i="20"/>
  <c r="L60" i="20" s="1"/>
  <c r="K32" i="20"/>
  <c r="L32" i="20" s="1"/>
  <c r="K42" i="20"/>
  <c r="L42" i="20" s="1"/>
  <c r="K67" i="20"/>
  <c r="L67" i="20" s="1"/>
  <c r="K49" i="20"/>
  <c r="L49" i="20" s="1"/>
  <c r="K69" i="20"/>
  <c r="L69" i="20" s="1"/>
  <c r="K76" i="20"/>
  <c r="L76" i="20" s="1"/>
  <c r="K81" i="20"/>
  <c r="L81" i="20" s="1"/>
  <c r="K24" i="20"/>
  <c r="L24" i="20" s="1"/>
  <c r="K26" i="20"/>
  <c r="L26" i="20" s="1"/>
  <c r="K28" i="20"/>
  <c r="L28" i="20" s="1"/>
  <c r="K30" i="20"/>
  <c r="L30" i="20" s="1"/>
  <c r="K27" i="20"/>
  <c r="L27" i="20" s="1"/>
  <c r="K34" i="20"/>
  <c r="L34" i="20" s="1"/>
  <c r="H45" i="12"/>
  <c r="H19" i="12"/>
  <c r="K21" i="12"/>
  <c r="K19" i="12" s="1"/>
  <c r="M21" i="12"/>
  <c r="K54" i="20" l="1"/>
  <c r="L54" i="20" s="1"/>
  <c r="I74" i="20"/>
  <c r="C126" i="20"/>
  <c r="F74" i="20"/>
  <c r="J74" i="20"/>
  <c r="G74" i="20"/>
  <c r="K75" i="20"/>
  <c r="L75" i="20" s="1"/>
  <c r="K63" i="20"/>
  <c r="L63" i="20" s="1"/>
  <c r="K44" i="20"/>
  <c r="L44" i="20" s="1"/>
  <c r="K52" i="20"/>
  <c r="L52" i="20" s="1"/>
  <c r="M19" i="12"/>
  <c r="N21" i="12"/>
  <c r="N19" i="12" s="1"/>
  <c r="L21" i="12"/>
  <c r="K74" i="20" l="1"/>
  <c r="L74" i="20" s="1"/>
  <c r="L45" i="12"/>
  <c r="L19" i="12"/>
  <c r="C14" i="12" l="1"/>
  <c r="C15" i="12" s="1"/>
  <c r="C83" i="20" l="1"/>
  <c r="I79" i="20" l="1"/>
  <c r="I83" i="20" s="1"/>
  <c r="C127" i="20"/>
  <c r="F79" i="20"/>
  <c r="G79" i="20"/>
  <c r="G83" i="20" s="1"/>
  <c r="J79" i="20"/>
  <c r="J83" i="20" s="1"/>
  <c r="E83" i="15"/>
  <c r="E87" i="15" s="1"/>
  <c r="E92" i="15" s="1"/>
  <c r="H79" i="20"/>
  <c r="H83" i="20" s="1"/>
  <c r="K79" i="20" l="1"/>
  <c r="L79" i="20" s="1"/>
  <c r="F83" i="20"/>
  <c r="K83" i="20" s="1"/>
  <c r="L83" i="20" s="1"/>
  <c r="E89" i="15"/>
  <c r="J55" i="20"/>
  <c r="J57" i="20" s="1"/>
  <c r="C57" i="20" l="1"/>
  <c r="H55" i="20"/>
  <c r="H57" i="20" s="1"/>
  <c r="F55" i="20"/>
  <c r="F57" i="20" s="1"/>
  <c r="I55" i="20"/>
  <c r="I57" i="20" s="1"/>
  <c r="G55" i="20"/>
  <c r="G57" i="20" s="1"/>
  <c r="C125" i="20"/>
  <c r="C128" i="20" s="1"/>
  <c r="C130" i="20" s="1"/>
  <c r="C132" i="20" s="1"/>
  <c r="E90" i="15" s="1"/>
  <c r="E91" i="15" s="1"/>
  <c r="C84" i="20" l="1"/>
  <c r="K55" i="20"/>
  <c r="L55" i="20" s="1"/>
  <c r="C137" i="20"/>
  <c r="E84" i="15" s="1"/>
  <c r="E85" i="15" s="1"/>
  <c r="K57" i="20"/>
  <c r="L57" i="20" s="1"/>
  <c r="C134" i="20"/>
  <c r="C135" i="20" s="1"/>
  <c r="C89" i="20" l="1"/>
  <c r="C97" i="20" l="1"/>
  <c r="C98" i="20" s="1"/>
  <c r="C101" i="20"/>
  <c r="C24" i="17" s="1"/>
  <c r="C110" i="20" l="1"/>
  <c r="C111" i="20" s="1"/>
  <c r="C109" i="20"/>
  <c r="G39" i="20"/>
  <c r="I39" i="20"/>
  <c r="J39" i="20"/>
  <c r="J84" i="20" s="1"/>
  <c r="H39" i="20"/>
  <c r="H84" i="20" l="1"/>
  <c r="K23" i="20"/>
  <c r="L23" i="20" s="1"/>
  <c r="I84" i="20"/>
  <c r="G84" i="20"/>
  <c r="J89" i="20"/>
  <c r="J16" i="20" s="1"/>
  <c r="F39" i="18" s="1"/>
  <c r="F39" i="20"/>
  <c r="J92" i="20" l="1"/>
  <c r="J91" i="20"/>
  <c r="J93" i="20"/>
  <c r="H89" i="20"/>
  <c r="H16" i="20" s="1"/>
  <c r="H93" i="20" s="1"/>
  <c r="K39" i="20"/>
  <c r="L39" i="20" s="1"/>
  <c r="F84" i="20"/>
  <c r="G89" i="20"/>
  <c r="G16" i="20" s="1"/>
  <c r="G92" i="20" s="1"/>
  <c r="I89" i="20"/>
  <c r="I16" i="20" s="1"/>
  <c r="E39" i="18" s="1"/>
  <c r="G91" i="20" l="1"/>
  <c r="J95" i="20"/>
  <c r="J97" i="20" s="1"/>
  <c r="J101" i="20"/>
  <c r="J110" i="20" s="1"/>
  <c r="J111" i="20" s="1"/>
  <c r="G93" i="20"/>
  <c r="G101" i="20" s="1"/>
  <c r="C39" i="18"/>
  <c r="I93" i="20"/>
  <c r="I92" i="20"/>
  <c r="I91" i="20"/>
  <c r="D39" i="18"/>
  <c r="H92" i="20"/>
  <c r="H101" i="20" s="1"/>
  <c r="H109" i="20" s="1"/>
  <c r="H91" i="20"/>
  <c r="K84" i="20"/>
  <c r="L84" i="20" s="1"/>
  <c r="I95" i="20" l="1"/>
  <c r="I97" i="20" s="1"/>
  <c r="J109" i="20"/>
  <c r="I101" i="20"/>
  <c r="C20" i="17" s="1"/>
  <c r="F20" i="17" s="1"/>
  <c r="C21" i="17"/>
  <c r="F21" i="17" s="1"/>
  <c r="G95" i="20"/>
  <c r="G97" i="20" s="1"/>
  <c r="H95" i="20"/>
  <c r="H97" i="20" s="1"/>
  <c r="H110" i="20"/>
  <c r="H111" i="20" s="1"/>
  <c r="C19" i="17"/>
  <c r="F19" i="17" s="1"/>
  <c r="G109" i="20"/>
  <c r="G110" i="20"/>
  <c r="G111" i="20" s="1"/>
  <c r="C18" i="17"/>
  <c r="F18" i="17" s="1"/>
  <c r="I109" i="20" l="1"/>
  <c r="I110" i="20"/>
  <c r="I111" i="20" s="1"/>
  <c r="K86" i="20"/>
  <c r="L86" i="20" s="1"/>
  <c r="F89" i="20"/>
  <c r="F16" i="20" s="1"/>
  <c r="F91" i="20" l="1"/>
  <c r="K16" i="20"/>
  <c r="F92" i="20"/>
  <c r="K92" i="20" s="1"/>
  <c r="L92" i="20" s="1"/>
  <c r="B39" i="18"/>
  <c r="G39" i="18" s="1"/>
  <c r="F93" i="20"/>
  <c r="K93" i="20" s="1"/>
  <c r="L93" i="20" s="1"/>
  <c r="K89" i="20"/>
  <c r="L89" i="20" s="1"/>
  <c r="F101" i="20" l="1"/>
  <c r="K101" i="20" s="1"/>
  <c r="L101" i="20" s="1"/>
  <c r="F95" i="20"/>
  <c r="K91" i="20"/>
  <c r="L91" i="20" s="1"/>
  <c r="F110" i="20" l="1"/>
  <c r="F111" i="20" s="1"/>
  <c r="K111" i="20" s="1"/>
  <c r="L111" i="20" s="1"/>
  <c r="F109" i="20"/>
  <c r="C17" i="17"/>
  <c r="C29" i="17" s="1"/>
  <c r="K95" i="20"/>
  <c r="L95" i="20" s="1"/>
  <c r="F97" i="20"/>
  <c r="K97" i="20" s="1"/>
  <c r="L97" i="20" s="1"/>
  <c r="C22" i="17" l="1"/>
  <c r="E24" i="17" s="1"/>
  <c r="F24" i="17" s="1"/>
  <c r="F17" i="17"/>
  <c r="F29" i="17" s="1"/>
  <c r="F33" i="17" l="1"/>
  <c r="C33" i="17" s="1"/>
  <c r="F32" i="17"/>
  <c r="C32" i="17" s="1"/>
  <c r="F31" i="17"/>
  <c r="C31" i="17" s="1"/>
  <c r="F30" i="17"/>
  <c r="C30" i="17" s="1"/>
  <c r="C34" i="17" l="1"/>
  <c r="F34" i="17" s="1"/>
  <c r="C36" i="17" l="1"/>
  <c r="F36" i="17" s="1"/>
  <c r="H32" i="17"/>
  <c r="H30" i="17"/>
  <c r="H31" i="17"/>
  <c r="H33" i="17"/>
  <c r="H3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Morten Steen Trads</author>
    <author>KR/MT</author>
  </authors>
  <commentList>
    <comment ref="B7" authorId="0" shapeId="0" xr:uid="{812E08B7-7EE4-4C25-BB2C-841CA8DC6DC8}">
      <text>
        <r>
          <rPr>
            <b/>
            <sz val="9"/>
            <color indexed="81"/>
            <rFont val="Tahoma"/>
            <family val="2"/>
          </rPr>
          <t>BDO:</t>
        </r>
        <r>
          <rPr>
            <sz val="9"/>
            <color indexed="81"/>
            <rFont val="Tahoma"/>
            <family val="2"/>
          </rPr>
          <t xml:space="preserve">
Mini-vejledning:
Modellen kan bruges til at udregne eller efterregne pladstakst for et kommunalt, regionalt eller privat tilbud omfattet af finansieringsbekendtgørelsen (='takstbekendtgørelsen') - p.t. BEK 864/2025. 
Ved at bruge modellen tilsikres at alle omkostningselementer inddrages.
Indtast data/tal i de grønne felter. Vælg mellem takstberegning (budget) eller efterkalkulation (regnskab - 'takstår -2') ved at vælge i celle C13.
Der er yderligere kommentarfelter på flere af cellerne, i tekstområderne.
Referencer i disse til 'budget- og regnskabssystem' (BRS), herunder specifikke arter (fx 'løn art 1') er specifikt rettet mod kommuner/regioner - men cellerne/beregningerne kan også anvendes af private tilbud.
Rækkefølge af omkostningstyper er opbygget med inspiration fra tilbudsportalens budgetmodel 
Modellen udregner alene en 'enkel' pladsbaseret (eller enkeltydelsesbaseret) takst.
Modellen er udarbejdet/justeret af BDO pr:
DEC 2025 </t>
        </r>
      </text>
    </comment>
    <comment ref="E20" authorId="1" shapeId="0" xr:uid="{0BA40D7E-A03A-4837-8886-E02EBC4C2DDA}">
      <text>
        <r>
          <rPr>
            <b/>
            <sz val="8"/>
            <color indexed="81"/>
            <rFont val="Tahoma"/>
            <family val="2"/>
          </rPr>
          <t>KR/MT:</t>
        </r>
        <r>
          <rPr>
            <sz val="8"/>
            <color indexed="81"/>
            <rFont val="Tahoma"/>
            <family val="2"/>
          </rPr>
          <t xml:space="preserve">
Nedenfor tastes 1 til 5, alt efter hvad nøgle posten skal fordeles efter. </t>
        </r>
      </text>
    </comment>
    <comment ref="A21" authorId="1" shapeId="0" xr:uid="{D77A916A-AA41-4D1D-A9A9-ED3E598C9F1D}">
      <text>
        <r>
          <rPr>
            <b/>
            <sz val="8"/>
            <color indexed="81"/>
            <rFont val="Tahoma"/>
            <family val="2"/>
          </rPr>
          <t>BDO:</t>
        </r>
        <r>
          <rPr>
            <sz val="8"/>
            <color indexed="81"/>
            <rFont val="Tahoma"/>
            <family val="2"/>
          </rPr>
          <t xml:space="preserve">
Ad Lønomkostninger:
Her placeres alle lønrelaterede omkostninger (f.eks. løn, pension, tjenestemandspensioner, AER, arbejdsgiverforsikringer, mv.) til personale, der ikke primært varetager administrative eller ledelsesmæssige opgaver. Dvs. at løn til fagligt - og, teknisk personale mv. placeres her. Løn til personale, der varetager blandede funktioner placeres entydigt efter deres primære opgave.
Eksempler:
• Lønomkostninger til mellemleder på større institution, der bruger 40 % af arbejdstiden på ledelse placeres entydigt i denne kategori.
• Lønomkostninger til en pedel, der udover sine primære opgaver, f.eks. også varetager noget kontorarbejde vedrørende institutionens vognpark, placeres i denne kategori.
Ad Øvrige omkostninger:
Her placeres f.eks. materialeomkostninger til aktiviteter, inventar (der ikke er aktiveret), transport, rengøringsartikler, rejser m.v..
Ved institutioner for børn og unge placeres ligeledes omkostninger til kost, tøj, lommepenge i denne kategori.</t>
        </r>
      </text>
    </comment>
    <comment ref="A40" authorId="1" shapeId="0" xr:uid="{04EA5444-B730-468F-9239-B429B55ED378}">
      <text>
        <r>
          <rPr>
            <b/>
            <sz val="8"/>
            <color indexed="81"/>
            <rFont val="Tahoma"/>
            <family val="2"/>
          </rPr>
          <t>BDO:</t>
        </r>
        <r>
          <rPr>
            <sz val="8"/>
            <color indexed="81"/>
            <rFont val="Tahoma"/>
            <family val="2"/>
          </rPr>
          <t xml:space="preserve">
Her placeres omkostninger til kurser, supervision, konsulentydelser og efteruddannelse for personale ansat på institutionen. Dvs. der indregnes omkostninger til løbende at fastholde tidssvarende kompetencer og kvalifikationer i eksisterende kommunale eller regionale ydelser. </t>
        </r>
      </text>
    </comment>
    <comment ref="A45" authorId="1" shapeId="0" xr:uid="{2B74BA5C-CEB3-46C3-AD0F-E9072B490852}">
      <text>
        <r>
          <rPr>
            <b/>
            <sz val="8"/>
            <color indexed="81"/>
            <rFont val="Tahoma"/>
            <family val="2"/>
          </rPr>
          <t>BDO:</t>
        </r>
        <r>
          <rPr>
            <sz val="8"/>
            <color indexed="81"/>
            <rFont val="Tahoma"/>
            <family val="2"/>
          </rPr>
          <t xml:space="preserve">
Her placeres lønomkostninger til kontorpersonale ansat på institutionen. Dvs. at summen af løn placeret under denne post sammen med løn placeret under 1) samlet udgør alle lønomkostninger på den pågældende ydelse. (se ”1” mht. placering af lønomkostninger for personale med blandede opgaver). Ved flere ydelser på samme institution fordeles omkostningerne på de enkelte hovedydelse.
Omkostninger til andet administrativt personale og IT mv. på institutionen placeres ligeledes her.
</t>
        </r>
      </text>
    </comment>
    <comment ref="A53" authorId="1" shapeId="0" xr:uid="{DA511F5C-7F37-4EA7-8A77-3B095E9713F9}">
      <text>
        <r>
          <rPr>
            <b/>
            <sz val="8"/>
            <color indexed="81"/>
            <rFont val="Tahoma"/>
            <family val="2"/>
          </rPr>
          <t>BDO:</t>
        </r>
        <r>
          <rPr>
            <sz val="8"/>
            <color indexed="81"/>
            <rFont val="Tahoma"/>
            <family val="2"/>
          </rPr>
          <t xml:space="preserve">
indirekte omkostning - hvis udkonteret, så direkte.
For kommunale tilbud:
Kto. 5 - tværgående decentral admin. (fx fælles ledelse for flere institutioner)
Kto. 6 - andel af 'rådhusomkostninger'
Denne post skal bl.a.dække en andel af løn til rådhuspersonale,  kontorfaciliteter, kurser osv. til denne personalegruppe.
Kan ev. være en procentsats af øvrige omkostninger.
Tilsvarende for regionale tilbud.
For private tilbud:
Evt. bidrag til / køb af administration hos 'paraplyorganisation el. lign. kan anføres her.</t>
        </r>
      </text>
    </comment>
    <comment ref="A58" authorId="1" shapeId="0" xr:uid="{607909F0-8218-48A9-BB5A-0C950973E680}">
      <text>
        <r>
          <rPr>
            <b/>
            <sz val="8"/>
            <color indexed="81"/>
            <rFont val="Tahoma"/>
            <family val="2"/>
          </rPr>
          <t>BDO:</t>
        </r>
        <r>
          <rPr>
            <sz val="8"/>
            <color indexed="81"/>
            <rFont val="Tahoma"/>
            <family val="2"/>
          </rPr>
          <t xml:space="preserve">
Her placeres lønomkostninger og en andel af øvrige omkostninger til de konsulenter (faglige og økonomiske), der fører generelt tilsyn med egne institutioner (jf. Retssikkerhedslovens bestemmelser). Dvs., at disse medarbejderes lønninger m.v. ikke skal placeres under kategorien ”central ledelse og administration”.
NB: Vær opmærksom på, at der til takstberegningen kun skal medtages omkostninger forbundet med det generelle tilsyn med egne institutioner, og ikke omkostninger forbundet med det individuelle tilsyn med borgere. Der skal ikke medtages omkostninger forbundet med tilsyn af private tilbud! </t>
        </r>
      </text>
    </comment>
    <comment ref="A64" authorId="1" shapeId="0" xr:uid="{D7FF72BF-B1D0-408D-8836-2661693938CF}">
      <text>
        <r>
          <rPr>
            <b/>
            <sz val="8"/>
            <color indexed="81"/>
            <rFont val="Tahoma"/>
            <family val="2"/>
          </rPr>
          <t>BDO:</t>
        </r>
        <r>
          <rPr>
            <sz val="8"/>
            <color indexed="81"/>
            <rFont val="Tahoma"/>
            <family val="2"/>
          </rPr>
          <t xml:space="preserve">
På denne post placeres følgende omkostninger:
I. Årlige Ejendomsomkostninger: ('=drift, art 1, 2 og 4')
Her placeres omkostninger til husleje ved lejeforhold, normalt vedligehold, omkostninger til opvarmning, el, ejendomsskat, vand, renovation m.v..
II. Afskrivninger:
Her placeres omkostninger til afskrivning af aktiverede bygninger, inventar, busser mv. Se senere. (=art 0.1)
III. Andre kapitalomkostninger:
• Forrentning af aktiver
• Forrentning af over-/underskud 
• Forrentning af likviditetstræk 
NB: Ved leasing opføres alene finansielt leasede aktiver i anlægskartoteket.
Omkostninger ved finansielt leasede aktiver: Der kan enten indregnes leasingydelser eller afskrivninger og forrentning – ikke begge dele samtidig.
Omkostninger ved operationel leasing medtages som en almindelige driftsomkostning på linie med leje.
</t>
        </r>
      </text>
    </comment>
    <comment ref="B73" authorId="0" shapeId="0" xr:uid="{B34A808B-5D4B-4F9D-AD85-261D39A6070B}">
      <text>
        <r>
          <rPr>
            <b/>
            <sz val="8"/>
            <color indexed="81"/>
            <rFont val="Tahoma"/>
            <family val="2"/>
          </rPr>
          <t>BDO:</t>
        </r>
        <r>
          <rPr>
            <sz val="8"/>
            <color indexed="81"/>
            <rFont val="Tahoma"/>
            <family val="2"/>
          </rPr>
          <t xml:space="preserve">
Afskrivninger for 'ejede' aktiver - indirekte omkostning.
(Vedr. leasing: Finansielt leasede aktiver er aktiveret/indregnet i anlægskartotek, og derfor også 'afskrevet'.
Operationelt leasede aktiver er 'lejede', og tages derfor med via direkte omkotninger)</t>
        </r>
      </text>
    </comment>
    <comment ref="B74" authorId="1" shapeId="0" xr:uid="{F9D757CD-7540-43F2-BC0B-1BE91D386B52}">
      <text>
        <r>
          <rPr>
            <b/>
            <sz val="8"/>
            <color indexed="81"/>
            <rFont val="Tahoma"/>
            <family val="2"/>
          </rPr>
          <t>BDO:</t>
        </r>
        <r>
          <rPr>
            <sz val="8"/>
            <color indexed="81"/>
            <rFont val="Tahoma"/>
            <family val="2"/>
          </rPr>
          <t xml:space="preserve">
Bygninger (= kat. 001 i anlægskartoteket i komm./reg.)</t>
        </r>
      </text>
    </comment>
    <comment ref="B75" authorId="1" shapeId="0" xr:uid="{8D95F7EA-5A7C-4733-8ACE-53AE7C1640E6}">
      <text>
        <r>
          <rPr>
            <b/>
            <sz val="8"/>
            <color indexed="81"/>
            <rFont val="Tahoma"/>
            <family val="2"/>
          </rPr>
          <t>BDO:</t>
        </r>
        <r>
          <rPr>
            <sz val="8"/>
            <color indexed="81"/>
            <rFont val="Tahoma"/>
            <family val="2"/>
          </rPr>
          <t xml:space="preserve">
Transportmidler mv., teknik (=kat. 002 i det kommunale/regionale anlægskartoteket)</t>
        </r>
      </text>
    </comment>
    <comment ref="B76" authorId="1" shapeId="0" xr:uid="{F4274E2A-886B-446C-8D22-2EE1AD30FBA0}">
      <text>
        <r>
          <rPr>
            <b/>
            <sz val="8"/>
            <color indexed="81"/>
            <rFont val="Tahoma"/>
            <family val="2"/>
          </rPr>
          <t>BDO:</t>
        </r>
        <r>
          <rPr>
            <sz val="8"/>
            <color indexed="81"/>
            <rFont val="Tahoma"/>
            <family val="2"/>
          </rPr>
          <t xml:space="preserve">
Inventar og IT-udstyr (jf. kategori 003 i det kommunale/regionale anlægskartotek)</t>
        </r>
      </text>
    </comment>
    <comment ref="B79" authorId="1" shapeId="0" xr:uid="{30D0DEE1-156D-40FF-A642-298703B6FFD4}">
      <text>
        <r>
          <rPr>
            <b/>
            <sz val="8"/>
            <color indexed="81"/>
            <rFont val="Tahoma"/>
            <family val="2"/>
          </rPr>
          <t>BDO:</t>
        </r>
        <r>
          <rPr>
            <sz val="8"/>
            <color indexed="81"/>
            <rFont val="Tahoma"/>
            <family val="2"/>
          </rPr>
          <t xml:space="preserve">
Metode til forrentning af langsigtede materielle kapitalaktiver ("produktionsapparatet"):
Restværdi af materielle anlægsaktiver i anlægskartoteket (Bygninger/grunde, biler, inventar/IT, osv)  X en årlig forrentningssats - der i BRS kap. 9 anbefales at basere sig på den effektive gennemsnitlige 10-årige statsobligation som opgjort af Danmarks Nationalbank.</t>
        </r>
      </text>
    </comment>
    <comment ref="B80" authorId="1" shapeId="0" xr:uid="{B7478CBF-6AC5-4007-8EF0-E5B8A2830C55}">
      <text>
        <r>
          <rPr>
            <b/>
            <sz val="8"/>
            <color indexed="81"/>
            <rFont val="Tahoma"/>
            <family val="2"/>
          </rPr>
          <t>BDO:</t>
        </r>
        <r>
          <rPr>
            <sz val="8"/>
            <color indexed="81"/>
            <rFont val="Tahoma"/>
            <family val="2"/>
          </rPr>
          <t xml:space="preserve">
Her anvendes eventuel foregående års ultimo saldo.
Fremgangsmetoden kan variere i forhold de forskellige aftaler i kommunen/regionen/virksomheden</t>
        </r>
      </text>
    </comment>
    <comment ref="B81" authorId="1" shapeId="0" xr:uid="{83912ECE-E949-46B8-961B-CD0E5855865A}">
      <text>
        <r>
          <rPr>
            <b/>
            <sz val="8"/>
            <color indexed="81"/>
            <rFont val="Tahoma"/>
            <family val="2"/>
          </rPr>
          <t>BDO:</t>
        </r>
        <r>
          <rPr>
            <sz val="8"/>
            <color indexed="81"/>
            <rFont val="Tahoma"/>
            <family val="2"/>
          </rPr>
          <t xml:space="preserve">
Fx '2 mdr. udlæg for omkostninger på institutionen'. Der kan gå op til ca. 2 måneder fra en bestiller modtager en ydelse til forfaldsdatoen på den tilhørende faktura. Udlægget for omkostningerne i denne periode kan forrentes til samme rentesats som den øvrige kortsigtede forrentning.
Fremgangsmetoden kan variere i forhold de forskellige aftaler i kommunerne/regioner/virksomheder</t>
        </r>
      </text>
    </comment>
    <comment ref="B86" authorId="1" shapeId="0" xr:uid="{6EF1F487-97DC-47A9-9F4A-55C1C640D0A3}">
      <text>
        <r>
          <rPr>
            <b/>
            <sz val="8"/>
            <color indexed="81"/>
            <rFont val="Tahoma"/>
            <family val="2"/>
          </rPr>
          <t>BDO:</t>
        </r>
        <r>
          <rPr>
            <sz val="8"/>
            <color indexed="81"/>
            <rFont val="Tahoma"/>
            <family val="2"/>
          </rPr>
          <t xml:space="preserve">
Over- eller underskud fra tidligere år ('ÅR-2') indregnes i taksten, jf. finansieringsbekg. § 3-7, samt herunder eventuel jf. rammeaftalerne eller retningslinier som er godkendt i kommunen/regionen. 
I en efterkalkulation (=regnskabseftervisning) indregnes denne post IKKE. Herved konsolideres tilbuddet. (Tidligere overskud 'afhøvles' via lavere takst; tidligere underskud 'indhentes' via højere takst)</t>
        </r>
      </text>
    </comment>
    <comment ref="B91" authorId="0" shapeId="0" xr:uid="{2247F3AB-92F5-4FB4-9911-0FF391C70156}">
      <text>
        <r>
          <rPr>
            <b/>
            <sz val="8"/>
            <color indexed="81"/>
            <rFont val="Tahoma"/>
            <family val="2"/>
          </rPr>
          <t>BDO:</t>
        </r>
        <r>
          <rPr>
            <sz val="8"/>
            <color indexed="81"/>
            <rFont val="Tahoma"/>
            <family val="2"/>
          </rPr>
          <t xml:space="preserve">
Ved takstberegning: 
Tallet justeres indtil man når det ønskede resultat! ('=0')
Ved efterkalkulation:
Kommuner: Incl. 'salg' til egen kommune - dvs. samlet aktivitet x faktisk takst.
Regioner: Samlet aktivitet x faktisk takst.</t>
        </r>
        <r>
          <rPr>
            <sz val="9"/>
            <color indexed="81"/>
            <rFont val="Tahoma"/>
            <family val="2"/>
          </rPr>
          <t xml:space="preserve">
</t>
        </r>
      </text>
    </comment>
    <comment ref="B92" authorId="0" shapeId="0" xr:uid="{39996C38-ACB6-42BC-BF6A-BD44078950AE}">
      <text>
        <r>
          <rPr>
            <b/>
            <sz val="8"/>
            <color indexed="81"/>
            <rFont val="Tahoma"/>
            <family val="2"/>
          </rPr>
          <t xml:space="preserve">BDO:
</t>
        </r>
        <r>
          <rPr>
            <sz val="8"/>
            <color indexed="81"/>
            <rFont val="Tahoma"/>
            <family val="2"/>
          </rPr>
          <t>Indtægter fx ved salg af produkter.
IKKE borgerbetalinger, da disse som udgangspunkt ikke skal opkræves af institutionen, men af betalingskommunen ('bruttoficering') - jf. Vejl. nr 1 til SEL, pkt. 239ff</t>
        </r>
        <r>
          <rPr>
            <sz val="9"/>
            <color indexed="81"/>
            <rFont val="Tahoma"/>
            <charset val="1"/>
          </rPr>
          <t xml:space="preserve">
</t>
        </r>
      </text>
    </comment>
    <comment ref="B93" authorId="0" shapeId="0" xr:uid="{8CFEA3F3-F550-45E9-AC00-114351568D06}">
      <text>
        <r>
          <rPr>
            <b/>
            <sz val="8"/>
            <color indexed="81"/>
            <rFont val="Tahoma"/>
            <family val="2"/>
          </rPr>
          <t>BDO:</t>
        </r>
        <r>
          <rPr>
            <sz val="8"/>
            <color indexed="81"/>
            <rFont val="Tahoma"/>
            <family val="2"/>
          </rPr>
          <t xml:space="preserve">
NB - ikke evt. VISO-indtægter - disse (samt tilhørende udgifter/omkostninger) skal holdes helt ude af takstberegning, jf. Vejl. nr 1 til SEL pkt. 196</t>
        </r>
      </text>
    </comment>
    <comment ref="B98" authorId="0" shapeId="0" xr:uid="{0EF17EF4-BBB9-446F-B6D9-64147176A980}">
      <text>
        <r>
          <rPr>
            <b/>
            <sz val="9"/>
            <color indexed="81"/>
            <rFont val="Tahoma"/>
            <family val="2"/>
          </rPr>
          <t>BDO:</t>
        </r>
        <r>
          <rPr>
            <sz val="9"/>
            <color indexed="81"/>
            <rFont val="Tahoma"/>
            <family val="2"/>
          </rPr>
          <t xml:space="preserve">
Overskudsgrad.
Da indtægter noteres med 'minus', er overskud/overskudsgrad også 'minus' (og underskud 'plus')</t>
        </r>
      </text>
    </comment>
    <comment ref="B99" authorId="0" shapeId="0" xr:uid="{19BE4612-5E78-4ED2-A983-E0A3A8C92C4A}">
      <text>
        <r>
          <rPr>
            <b/>
            <sz val="8"/>
            <color indexed="81"/>
            <rFont val="Tahoma"/>
            <family val="2"/>
          </rPr>
          <t>BDO:</t>
        </r>
        <r>
          <rPr>
            <sz val="8"/>
            <color indexed="81"/>
            <rFont val="Tahoma"/>
            <family val="2"/>
          </rPr>
          <t xml:space="preserve">
Indregning af over/underskud ved efterkalkulation skal for offentlige (kommunale/regionale) tilbud ske iht. Finansieringsbekg. § 3-7.
For private tilbud gælder ikke tilsvarende regler.</t>
        </r>
      </text>
    </comment>
    <comment ref="B103" authorId="0" shapeId="0" xr:uid="{8896C05D-B8D5-46D7-9B69-2913BFD4C436}">
      <text>
        <r>
          <rPr>
            <b/>
            <sz val="8"/>
            <color indexed="81"/>
            <rFont val="Tahoma"/>
            <family val="2"/>
          </rPr>
          <t>BDO:</t>
        </r>
        <r>
          <rPr>
            <sz val="8"/>
            <color indexed="81"/>
            <rFont val="Tahoma"/>
            <family val="2"/>
          </rPr>
          <t xml:space="preserve">
Her indtastes bruttopladser ('fuld kapacitet')</t>
        </r>
      </text>
    </comment>
    <comment ref="B104" authorId="0" shapeId="0" xr:uid="{2EE19327-B38A-4802-82B8-03454697BAA7}">
      <text>
        <r>
          <rPr>
            <b/>
            <sz val="8"/>
            <color indexed="81"/>
            <rFont val="Tahoma"/>
            <family val="2"/>
          </rPr>
          <t>BDO:</t>
        </r>
        <r>
          <rPr>
            <sz val="8"/>
            <color indexed="81"/>
            <rFont val="Tahoma"/>
            <family val="2"/>
          </rPr>
          <t xml:space="preserve">
Her indtastes forventet aktivitet (belægningsprocent)</t>
        </r>
      </text>
    </comment>
    <comment ref="B106" authorId="0" shapeId="0" xr:uid="{87118FAD-4974-4720-9BFF-E5E67482088F}">
      <text>
        <r>
          <rPr>
            <b/>
            <sz val="9"/>
            <color indexed="81"/>
            <rFont val="Tahoma"/>
            <charset val="1"/>
          </rPr>
          <t xml:space="preserve">BDO:
</t>
        </r>
        <r>
          <rPr>
            <sz val="9"/>
            <color indexed="81"/>
            <rFont val="Tahoma"/>
            <family val="2"/>
          </rPr>
          <t>'365' - evt. '366' ved skudår!</t>
        </r>
        <r>
          <rPr>
            <sz val="9"/>
            <color indexed="81"/>
            <rFont val="Tahoma"/>
            <charset val="1"/>
          </rPr>
          <t xml:space="preserve">
</t>
        </r>
      </text>
    </comment>
    <comment ref="B110" authorId="0" shapeId="0" xr:uid="{E0B207A3-2D08-4798-94C2-1102EDEEA8AC}">
      <text>
        <r>
          <rPr>
            <b/>
            <sz val="8"/>
            <color indexed="81"/>
            <rFont val="Tahoma"/>
            <family val="2"/>
          </rPr>
          <t>BDO:</t>
        </r>
        <r>
          <rPr>
            <sz val="8"/>
            <color indexed="81"/>
            <rFont val="Tahoma"/>
            <family val="2"/>
          </rPr>
          <t xml:space="preserve">
Det er denne takst der skal indberettes på Tilbudsportalen!
(For private tilbud sker der så automatisk 'fradrag' af indirekte moms på tilbudsportalen)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Morten Steen Trads</author>
    <author>KR/MT</author>
    <author>Morten Mandøe</author>
  </authors>
  <commentList>
    <comment ref="A19" authorId="0" shapeId="0" xr:uid="{00000000-0006-0000-0500-000001000000}">
      <text>
        <r>
          <rPr>
            <b/>
            <sz val="9"/>
            <color indexed="81"/>
            <rFont val="Tahoma"/>
            <family val="2"/>
          </rPr>
          <t>BDO</t>
        </r>
        <r>
          <rPr>
            <sz val="9"/>
            <color indexed="81"/>
            <rFont val="Tahoma"/>
            <family val="2"/>
          </rPr>
          <t xml:space="preserve">
Der tillægges 80.000 kr i "eget administrativt overhead" pr administrativ fuldtidsnormering - her beregnet ud fra 20% af 400 tkr - til dækning af medarbejderens forbrug af strøm, papir, husleje osv. (Samme metode som i 'DUT')</t>
        </r>
      </text>
    </comment>
    <comment ref="E22" authorId="1" shapeId="0" xr:uid="{B430A92E-3220-4065-9A66-C33A726F69E2}">
      <text>
        <r>
          <rPr>
            <b/>
            <sz val="8"/>
            <color indexed="81"/>
            <rFont val="Tahoma"/>
            <family val="2"/>
          </rPr>
          <t>BDO:</t>
        </r>
        <r>
          <rPr>
            <sz val="8"/>
            <color indexed="81"/>
            <rFont val="Tahoma"/>
            <family val="2"/>
          </rPr>
          <t xml:space="preserve">
Der tillægges 'overhead-til-overhead' eller 'eget administrativt overhead' pr administrativ fuldtidsnormering - til dækning af medarbejderens forbrug af strøm, papir, husleje osv. (Samme metode som i 'DUT')
Her i eksemplet sat til 80 tkr pr FTN</t>
        </r>
      </text>
    </comment>
    <comment ref="E32" authorId="1" shapeId="0" xr:uid="{00000000-0006-0000-0500-000003000000}">
      <text>
        <r>
          <rPr>
            <b/>
            <sz val="8"/>
            <color indexed="81"/>
            <rFont val="Tahoma"/>
            <family val="2"/>
          </rPr>
          <t>BDO:</t>
        </r>
        <r>
          <rPr>
            <sz val="8"/>
            <color indexed="81"/>
            <rFont val="Tahoma"/>
            <family val="2"/>
          </rPr>
          <t xml:space="preserve">
Der tillægges 'overhead-til-overhead' eller 'eget administrativt overhead' pr administrativ fuldtidsnormering - til dækning af medarbejderens forbrug af strøm, papir, husleje osv. (Samme metode som i 'DUT')
Her i eksemplet sat til 80 tkr pr FTN</t>
        </r>
      </text>
    </comment>
    <comment ref="A40" authorId="2" shapeId="0" xr:uid="{00000000-0006-0000-0500-000004000000}">
      <text>
        <r>
          <rPr>
            <b/>
            <sz val="8"/>
            <color indexed="81"/>
            <rFont val="Tahoma"/>
            <family val="2"/>
          </rPr>
          <t>Herunder kan følgende eventuelt medtages: Lønberegnings/ udbetalingsopgaver, andre personalepolitiske opgaver, arbejdsgivernes elev refusion, præmier til diverse forsikringer, BST, AES etc.</t>
        </r>
      </text>
    </comment>
    <comment ref="A47" authorId="2" shapeId="0" xr:uid="{00000000-0006-0000-0500-000005000000}">
      <text>
        <r>
          <rPr>
            <b/>
            <sz val="8"/>
            <color indexed="81"/>
            <rFont val="Tahoma"/>
            <family val="2"/>
          </rPr>
          <t xml:space="preserve">Herunder kan eventuelt medtages bogholderiopgaver, regnskabsopgaver, udgifter til revision, budgetopgaver etc. </t>
        </r>
      </text>
    </comment>
    <comment ref="A54" authorId="2" shapeId="0" xr:uid="{00000000-0006-0000-0500-000006000000}">
      <text>
        <r>
          <rPr>
            <b/>
            <sz val="8"/>
            <color indexed="81"/>
            <rFont val="Tahoma"/>
            <family val="2"/>
          </rPr>
          <t>Herunder medtages eventuelt forsikringssager, redningsabonnement med FALCK etc.</t>
        </r>
      </text>
    </comment>
    <comment ref="A61" authorId="2" shapeId="0" xr:uid="{00000000-0006-0000-0500-000007000000}">
      <text>
        <r>
          <rPr>
            <b/>
            <sz val="8"/>
            <color indexed="81"/>
            <rFont val="Tahoma"/>
            <family val="2"/>
          </rPr>
          <t>Herunder medtages eventuelt generel lønudgifter til IT- servicering af institutionen, udgifter til evt. systemer, betaling af leasingkontrakter samt Kommunedata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KR/MT</author>
  </authors>
  <commentList>
    <comment ref="F14" authorId="0" shapeId="0" xr:uid="{00000000-0006-0000-0600-000001000000}">
      <text>
        <r>
          <rPr>
            <b/>
            <sz val="8"/>
            <color indexed="81"/>
            <rFont val="Tahoma"/>
            <family val="2"/>
          </rPr>
          <t>KR/MT:</t>
        </r>
        <r>
          <rPr>
            <sz val="8"/>
            <color indexed="81"/>
            <rFont val="Tahoma"/>
            <family val="2"/>
          </rPr>
          <t xml:space="preserve">
Metoden til forrentning af langsigtede materielle kapitalaktiver ("produktionsapparatet"):
Værdi af materielle anlægsaktiver i anlægskartoteket (Bygninger/grunde, biler, inventar/IT, osv) primo + ultimo / 2 (den gennemsnitlige årsværdi af produktionsapparatet) X en årlig forrentningssats - der i "den gule" kap. 9 anbefales at basere sig på den effektive gennemsnitlige 10-årige statsobligation som opgjort af Danmarks Nationalbank.</t>
        </r>
      </text>
    </comment>
    <comment ref="F18" authorId="0" shapeId="0" xr:uid="{00000000-0006-0000-0600-000002000000}">
      <text>
        <r>
          <rPr>
            <b/>
            <sz val="8"/>
            <color indexed="81"/>
            <rFont val="Tahoma"/>
            <family val="2"/>
          </rPr>
          <t>BDO</t>
        </r>
        <r>
          <rPr>
            <sz val="8"/>
            <color indexed="81"/>
            <rFont val="Tahoma"/>
            <family val="2"/>
          </rPr>
          <t xml:space="preserve">
Md-nr KAN udfyldes - hvis kommunen bruger månedvise afskrivninger
</t>
        </r>
      </text>
    </comment>
    <comment ref="G18" authorId="0" shapeId="0" xr:uid="{00000000-0006-0000-0600-000003000000}">
      <text>
        <r>
          <rPr>
            <b/>
            <sz val="8"/>
            <color indexed="81"/>
            <rFont val="Tahoma"/>
            <family val="2"/>
          </rPr>
          <t>BDO:</t>
        </r>
        <r>
          <rPr>
            <sz val="8"/>
            <color indexed="81"/>
            <rFont val="Tahoma"/>
            <family val="2"/>
          </rPr>
          <t xml:space="preserve">
"Grunde" lever evigt/afskrives ikke. Skriv "999999999" i levetid...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KR/MT</author>
  </authors>
  <commentList>
    <comment ref="A20" authorId="0" shapeId="0" xr:uid="{00000000-0006-0000-0700-000001000000}">
      <text>
        <r>
          <rPr>
            <b/>
            <sz val="8"/>
            <color indexed="81"/>
            <rFont val="Tahoma"/>
            <family val="2"/>
          </rPr>
          <t>BDO:</t>
        </r>
        <r>
          <rPr>
            <sz val="8"/>
            <color indexed="81"/>
            <rFont val="Tahoma"/>
            <family val="2"/>
          </rPr>
          <t xml:space="preserve">
Fra "BRS" - kap. 9:
"9.5.2. Forrentning af driftskapital
I omkostningskalkulen indregnes omkostninger til forrentning af driftskapital, såfremt
der er tale om en aktivitet, hvortil der knytter sig væsentlige omkostninger til likviditetsmæssige
udlæg i forbindelse med opgavens udførelse. Forrentning af driftskapital skal
modsvare de omkostninger, der er ved likviditetsmæssig udlægning i forbindelse med
produktionen.
Hvis betalingen af aktiviteten sker løbende – f.eks. løn der afregnes løbende samt ved
a conto fakturering – vil man i kalkulationen kunne se bort fra forrentning af driftskapital.
Tilsvarende gælder, hvis produktionstiden og kreditten er meget kort.
Er der derimod tale om en længere produktionsperiode, hvor betalingen af produktet
først sker ved leveringen, eventuelt med kredittid, kan det være nødvendigt at indregne
en forrentning af driftskapitalen i kalkulationen.
Markedsrenten vil være den relevante rentefod ved disse beregninger. Da der er tale
om forrentning af driftskapital benyttes som udgangspunkt en aktuel/kort rentesats."
</t>
        </r>
      </text>
    </comment>
  </commentList>
</comments>
</file>

<file path=xl/sharedStrings.xml><?xml version="1.0" encoding="utf-8"?>
<sst xmlns="http://schemas.openxmlformats.org/spreadsheetml/2006/main" count="407" uniqueCount="309">
  <si>
    <t>Løn - Udførende personale</t>
  </si>
  <si>
    <t>Løn - Vikarudgifter</t>
  </si>
  <si>
    <t>Materialeomkostninger</t>
  </si>
  <si>
    <t>Inventar (som ikke er aktiveret)</t>
  </si>
  <si>
    <t>Forsikringer</t>
  </si>
  <si>
    <t>Rengøring m.m.</t>
  </si>
  <si>
    <t>Udvikling</t>
  </si>
  <si>
    <t>Løn</t>
  </si>
  <si>
    <t>Kontorhold</t>
  </si>
  <si>
    <t>IT</t>
  </si>
  <si>
    <t>Pension tjenestemænd</t>
  </si>
  <si>
    <t>Tilsyn</t>
  </si>
  <si>
    <t>Konsulenter</t>
  </si>
  <si>
    <t>Øvrige omkostninger</t>
  </si>
  <si>
    <t>Ejendoms - og kapitalomkostninger (vedligeholdelse, afskrivning m.v)</t>
  </si>
  <si>
    <t>Vedligeholdelse indvendig</t>
  </si>
  <si>
    <t>Vedligeholdelse udvendig</t>
  </si>
  <si>
    <t>Varme, El, vand, renovation m.m.</t>
  </si>
  <si>
    <t>Andre kapitalomkostninger</t>
  </si>
  <si>
    <t>Forrentning af aktiver</t>
  </si>
  <si>
    <t>Forrentning af over-/underskud</t>
  </si>
  <si>
    <t>Forrentning af likviditetstræk</t>
  </si>
  <si>
    <t>Budget</t>
  </si>
  <si>
    <t>Salg af pladser/ydelser</t>
  </si>
  <si>
    <t>I alt</t>
  </si>
  <si>
    <t>Opsamlingsskema</t>
  </si>
  <si>
    <t>Kr.</t>
  </si>
  <si>
    <t>Forrentningsberegning</t>
  </si>
  <si>
    <t>Rentesats</t>
  </si>
  <si>
    <t>Beregnede omkostninger i alt</t>
  </si>
  <si>
    <t>Bemærk: Søjle 1-4 samt 6 skal udfyldes!</t>
  </si>
  <si>
    <t>(1)</t>
  </si>
  <si>
    <t>(2)</t>
  </si>
  <si>
    <t>(3)</t>
  </si>
  <si>
    <t>(4)</t>
  </si>
  <si>
    <t>(5)</t>
  </si>
  <si>
    <t>(6)</t>
  </si>
  <si>
    <t>(7)</t>
  </si>
  <si>
    <t>(8)</t>
  </si>
  <si>
    <t>(9)</t>
  </si>
  <si>
    <t>(10)</t>
  </si>
  <si>
    <t>(11)</t>
  </si>
  <si>
    <t>(12)</t>
  </si>
  <si>
    <t>(13)</t>
  </si>
  <si>
    <t>Aktivbeskrivelse</t>
  </si>
  <si>
    <t>Anskaffel-sespris</t>
  </si>
  <si>
    <t>Scrap-værdi</t>
  </si>
  <si>
    <t>Anskaffel-sesår</t>
  </si>
  <si>
    <t>Anskaffel-måned</t>
  </si>
  <si>
    <t>Afskrivning pr. år</t>
  </si>
  <si>
    <t>Metode og andel</t>
  </si>
  <si>
    <t>"Normering"</t>
  </si>
  <si>
    <t>Overhead</t>
  </si>
  <si>
    <t>Socialforvaltningen</t>
  </si>
  <si>
    <t xml:space="preserve">Løn – og personalekontoret </t>
  </si>
  <si>
    <t>Økonomisk afdeling</t>
  </si>
  <si>
    <t>Fællessekretariatet (eks. Borgmesterkontoret)</t>
  </si>
  <si>
    <t>IT-afdelingen</t>
  </si>
  <si>
    <t>Andre udgifter</t>
  </si>
  <si>
    <t>Samlet omkostning</t>
  </si>
  <si>
    <t xml:space="preserve">Samlet udgift </t>
  </si>
  <si>
    <t>Personale</t>
  </si>
  <si>
    <t>Regnskab</t>
  </si>
  <si>
    <t xml:space="preserve"> </t>
  </si>
  <si>
    <t>Liftbus</t>
  </si>
  <si>
    <t>Nøgle</t>
  </si>
  <si>
    <t>Kontrol</t>
  </si>
  <si>
    <t>Aktivitet</t>
  </si>
  <si>
    <t>Fordelt</t>
  </si>
  <si>
    <t>Tjek</t>
  </si>
  <si>
    <t xml:space="preserve">Beregning af omkostningsbaserede takster </t>
  </si>
  <si>
    <t>Dato:</t>
  </si>
  <si>
    <t>Total</t>
  </si>
  <si>
    <t>Grund</t>
  </si>
  <si>
    <t>Forrentning og afskrivning - materielle anlægsaktiver</t>
  </si>
  <si>
    <t>Bygning 1</t>
  </si>
  <si>
    <t>Bygning 2</t>
  </si>
  <si>
    <t>Nr</t>
  </si>
  <si>
    <t>Levetid (antal år)</t>
  </si>
  <si>
    <t>Oversigt</t>
  </si>
  <si>
    <t>Beskrivelse af institutionens aktiviteter/ydelser:</t>
  </si>
  <si>
    <t>Kort form</t>
  </si>
  <si>
    <t>Fælles administrativ service - konto 6</t>
  </si>
  <si>
    <t>Fælles administrativ service - konto 5</t>
  </si>
  <si>
    <t>Konto 5</t>
  </si>
  <si>
    <t>Konto 6</t>
  </si>
  <si>
    <t>Andel af fælles adm. - evt. decentral fagforvaltning</t>
  </si>
  <si>
    <t>Administration (på institutionen)</t>
  </si>
  <si>
    <t>1) Direkte opgørelse</t>
  </si>
  <si>
    <t>Saml. Omkostn.</t>
  </si>
  <si>
    <t>Pris pr enhed</t>
  </si>
  <si>
    <t>Enhed</t>
  </si>
  <si>
    <t>Døgn</t>
  </si>
  <si>
    <t>Overhead-procent - i henhold til rammeaftale med regionen:</t>
  </si>
  <si>
    <t>Omkostninger i alt</t>
  </si>
  <si>
    <t>Lønomkostninger</t>
  </si>
  <si>
    <t>Procent</t>
  </si>
  <si>
    <t>Sum</t>
  </si>
  <si>
    <t>Nøgle 1:</t>
  </si>
  <si>
    <t>Nøgle 2:</t>
  </si>
  <si>
    <t>Nøgle 3:</t>
  </si>
  <si>
    <t>Nøgle 4:</t>
  </si>
  <si>
    <t>Nøgle 5:</t>
  </si>
  <si>
    <t>Stk.</t>
  </si>
  <si>
    <t>Nøgletekst</t>
  </si>
  <si>
    <t>Ufordelt:</t>
  </si>
  <si>
    <t>Kontrol af fordeling:</t>
  </si>
  <si>
    <t>Transport</t>
  </si>
  <si>
    <t>Afskrivninger/leasingydelser</t>
  </si>
  <si>
    <t>Årlige ejendomsudgifter</t>
  </si>
  <si>
    <t>Andel af socialchefen</t>
  </si>
  <si>
    <t>Omkostning incl. Overhead</t>
  </si>
  <si>
    <t>Kto. 5 - FÆLLESUDGIFTER -  FAGFORVALTNING</t>
  </si>
  <si>
    <t>Kto. 6 - FÆLLESUDGIFTER - RÅDHUSET</t>
  </si>
  <si>
    <t>Forrentning af likivder (omsætningsaktiver)</t>
  </si>
  <si>
    <t>1. Forrentning af over/underskud for året før</t>
  </si>
  <si>
    <t>2. Forrrentning af driftskapital</t>
  </si>
  <si>
    <t>Gennemsnitligt månedligt likviditetsudlæg:</t>
  </si>
  <si>
    <t>Renteomkostning på årsbasis</t>
  </si>
  <si>
    <t>Rentesats p.a.</t>
  </si>
  <si>
    <t>Eksempel</t>
  </si>
  <si>
    <t xml:space="preserve">  således "effektiv løbetid" på gns. 1½ år, svarende til:</t>
  </si>
  <si>
    <t>Varekøb</t>
  </si>
  <si>
    <t>Kontonummer</t>
  </si>
  <si>
    <t>xxx-xxx-xxx-xx</t>
  </si>
  <si>
    <t>osv</t>
  </si>
  <si>
    <t>Forsikringspuljer – kommunen er selvforsikrende</t>
  </si>
  <si>
    <t>Eventuelle puljer</t>
  </si>
  <si>
    <t xml:space="preserve">Samtidig skal der også tages stilling til, hvorledes de enkelte forsikringsudgifter skal fordeles. Eks. kan arbejdsskade </t>
  </si>
  <si>
    <t>fordeles efter helårspersoner og bygningsforsikring efter ejendomsværdi.</t>
  </si>
  <si>
    <t>Dagpengepuljer (forsikring) – der er flere som afholder udgifter centralt</t>
  </si>
  <si>
    <t>Vedligeholdelsespuljer – der kan efter regler alene medtages omkostninger når de afholdes på stedet?</t>
  </si>
  <si>
    <t>Eksempel på styring af puljer via art 0:</t>
  </si>
  <si>
    <t>"Præmie" Inst1</t>
  </si>
  <si>
    <t>…. Do. Inst2</t>
  </si>
  <si>
    <t>Erstatning</t>
  </si>
  <si>
    <t>Omkontering</t>
  </si>
  <si>
    <t>Kassen</t>
  </si>
  <si>
    <t>Kto. 6; pulje; art 0.8</t>
  </si>
  <si>
    <t>Kto. 5; inst1; art 0.5</t>
  </si>
  <si>
    <t>Kto. 5; inst1; art 5.2</t>
  </si>
  <si>
    <t>Kto. 5; inst1; art 0.8</t>
  </si>
  <si>
    <t>Kto. 6; pulje; art 0.6</t>
  </si>
  <si>
    <t>(Arbejdsskadeforsikring ved selvforsikring/pulje)</t>
  </si>
  <si>
    <t>ca. 0 - over tid</t>
  </si>
  <si>
    <t>…..3</t>
  </si>
  <si>
    <t>Indgår i institutionens omkostninger det enkelte år</t>
  </si>
  <si>
    <t>D</t>
  </si>
  <si>
    <t xml:space="preserve">K   D </t>
  </si>
  <si>
    <t xml:space="preserve">     D </t>
  </si>
  <si>
    <t>K</t>
  </si>
  <si>
    <t>(Demo-model med fiktive tal)</t>
  </si>
  <si>
    <t xml:space="preserve">Der er i mange kommuner som har oprettet fællespuljer, der styres centralt og anvendes på institutionerne – der kan </t>
  </si>
  <si>
    <t>eksempelvis være tale om følgende:</t>
  </si>
  <si>
    <t xml:space="preserve">Hvorledes skal kommuner, der er selvforsikrende forholde sig med hensyn til takstberegning i henholdsvis budgetfasen </t>
  </si>
  <si>
    <t>og regnskabsfasen samt kontering?</t>
  </si>
  <si>
    <t xml:space="preserve">Mange har udgifterne på konto 6 – men såfremt man har indlæggende kommuner skal de vel betale en andel af </t>
  </si>
  <si>
    <t>"selvforsikringsomkostningen".</t>
  </si>
  <si>
    <t>Ovenstående kan eksempelvis styres via artskontering ved brug af art 0 - se nedenfor</t>
  </si>
  <si>
    <t>Der er andre puljer som også skal behandles - for eksempel:</t>
  </si>
  <si>
    <t>Feriepenge</t>
  </si>
  <si>
    <t>Samlede afskrivninger</t>
  </si>
  <si>
    <t>"Lønkørsel" for inst.'s medarb. ; 1/5 lønkontoransat</t>
  </si>
  <si>
    <t>Div. andre medarb. 1/4 årsnorm.</t>
  </si>
  <si>
    <t xml:space="preserve">  Da underskuddet indgår løbende i takstindbetalingen, er der</t>
  </si>
  <si>
    <t>FC</t>
  </si>
  <si>
    <t>Evt. andre indtægter</t>
  </si>
  <si>
    <t>"Nøgle 6"</t>
  </si>
  <si>
    <t>FullCost-fordeling af omkostninger</t>
  </si>
  <si>
    <t>Sted:</t>
  </si>
  <si>
    <t>Direkte omkostninger - løn/udvikl/lokaladmin</t>
  </si>
  <si>
    <t>Direkte omkostninger - årl. ejendomsudg.</t>
  </si>
  <si>
    <t xml:space="preserve">Indir. omk. - forrentning </t>
  </si>
  <si>
    <t>Saml. omkost (1)</t>
  </si>
  <si>
    <t>Regul.O/U tidl. år</t>
  </si>
  <si>
    <t>Saml. omkost (2)</t>
  </si>
  <si>
    <t>Øvr. indtægter</t>
  </si>
  <si>
    <t>Nettoomkostninger, takstbrg.grundlag</t>
  </si>
  <si>
    <t>Subtotaler/afstemningspunkter</t>
  </si>
  <si>
    <t>Resultat (+=Undersk.; -=Oversk.)</t>
  </si>
  <si>
    <t>Institutionens samlede nettoomkostninger - før beregning af administrativt overhead</t>
  </si>
  <si>
    <t>tjek</t>
  </si>
  <si>
    <t>diff</t>
  </si>
  <si>
    <t xml:space="preserve"> = dir. OH &lt;&gt; indir. OH</t>
  </si>
  <si>
    <t>Afskrivning og Forrentning</t>
  </si>
  <si>
    <t>Post</t>
  </si>
  <si>
    <t>OMSÆTNING ('Indtægter' - angives med minus)</t>
  </si>
  <si>
    <t>Omsætning i alt</t>
  </si>
  <si>
    <t>pct (+=Undersk.; -=Oversk.)</t>
  </si>
  <si>
    <t>ABC-fordeling</t>
  </si>
  <si>
    <t>Fordelingsnøgler ('ABC'-nøgler)</t>
  </si>
  <si>
    <t>Modellen er opbygget til 1 basisydelse og op til 4 serviceydelsesniveauer</t>
  </si>
  <si>
    <t>Basis</t>
  </si>
  <si>
    <t>Basistakst</t>
  </si>
  <si>
    <t>YN1</t>
  </si>
  <si>
    <t>YN2</t>
  </si>
  <si>
    <t>YN3</t>
  </si>
  <si>
    <t>YN4</t>
  </si>
  <si>
    <t>Forventet pladsfordeling</t>
  </si>
  <si>
    <t>BAS</t>
  </si>
  <si>
    <t>Brt.pl.</t>
  </si>
  <si>
    <t>Belæg.</t>
  </si>
  <si>
    <t>Forventet tyngde</t>
  </si>
  <si>
    <t>Index YN1=1</t>
  </si>
  <si>
    <t>Løn - Nattevagt</t>
  </si>
  <si>
    <t>Ydelsesniv.1</t>
  </si>
  <si>
    <t>Ydelsesniv.2</t>
  </si>
  <si>
    <t>Ydelsesniv.3</t>
  </si>
  <si>
    <t>Ydelsesniv.4</t>
  </si>
  <si>
    <t>Saml. Provenu</t>
  </si>
  <si>
    <t>Antal Ydelser</t>
  </si>
  <si>
    <t>Indtægter (kontrol)</t>
  </si>
  <si>
    <t>Aktivitet/Ydelse</t>
  </si>
  <si>
    <t>Kontrol af provenu:</t>
  </si>
  <si>
    <t>Andel</t>
  </si>
  <si>
    <t>BDO Statsautoriseret Revisionspartnerselskab 2025</t>
  </si>
  <si>
    <r>
      <t>for tilbud mv. iht. Finansieringsbekg</t>
    </r>
    <r>
      <rPr>
        <b/>
        <i/>
        <sz val="11"/>
        <rFont val="Arial"/>
        <family val="2"/>
      </rPr>
      <t>.</t>
    </r>
    <r>
      <rPr>
        <b/>
        <sz val="11"/>
        <rFont val="Arial"/>
        <family val="2"/>
      </rPr>
      <t xml:space="preserve"> </t>
    </r>
    <r>
      <rPr>
        <b/>
        <sz val="10"/>
        <rFont val="Arial"/>
        <family val="2"/>
      </rPr>
      <t>(jf. SEL § 174 &amp; BL § 195)</t>
    </r>
  </si>
  <si>
    <t>Vejledning</t>
  </si>
  <si>
    <t>Stamdata</t>
  </si>
  <si>
    <t>Driftsherre:</t>
  </si>
  <si>
    <t>Tilbudstype:</t>
  </si>
  <si>
    <t>Vælg 'Takstberegning' (budget) eller 'Efterkalkulation' (regnskab):</t>
  </si>
  <si>
    <t xml:space="preserve">År: </t>
  </si>
  <si>
    <t>Navn/Init.:</t>
  </si>
  <si>
    <t>version:</t>
  </si>
  <si>
    <t>Evt. kommentar/ dokum./link:</t>
  </si>
  <si>
    <t>Lønomkostninger og øvrige udgifter/omkostninger, som kan henføres direkte til tilbud/ydelse</t>
  </si>
  <si>
    <t>Løn - Ledelse</t>
  </si>
  <si>
    <r>
      <t>Andet…</t>
    </r>
    <r>
      <rPr>
        <i/>
        <sz val="9"/>
        <rFont val="Arial"/>
        <family val="2"/>
      </rPr>
      <t xml:space="preserve"> (anfør)</t>
    </r>
  </si>
  <si>
    <t>Omkostninger relateret til Udvikling - herunder uddannelse af personale, opkvalificering af tilbud m.v.</t>
  </si>
  <si>
    <t>Uddannelse/kurser</t>
  </si>
  <si>
    <t>Andel af central ledelse og administration (- 'konto 5 og konto 6' for kommuner)</t>
  </si>
  <si>
    <t>Andel af (de-)central ledelse/adm. ('kto. 5')</t>
  </si>
  <si>
    <t>Andel af central ledelse/admin. ('kto. 6')</t>
  </si>
  <si>
    <t>Husleje (hvis lejede lokaler)</t>
  </si>
  <si>
    <t>Ejendomsskat (private)</t>
  </si>
  <si>
    <t>Afskrivninger - bygninger</t>
  </si>
  <si>
    <t>Afskrivninger - teknik (busser, biler m.m.)</t>
  </si>
  <si>
    <t>Afskrivninger - inventar (incl. IT)</t>
  </si>
  <si>
    <t>Over- og underskud tidligere år ('år-2')</t>
  </si>
  <si>
    <t>(Pos="omkost."=gl.undsk.; Neg="indtægt"=gl.ovsk.)</t>
  </si>
  <si>
    <t>Salg af pladser</t>
  </si>
  <si>
    <t>Indtægter ved fremstilling af ydelser/produkter</t>
  </si>
  <si>
    <r>
      <rPr>
        <b/>
        <sz val="10"/>
        <rFont val="Arial"/>
        <family val="2"/>
      </rPr>
      <t xml:space="preserve">Resultat </t>
    </r>
    <r>
      <rPr>
        <sz val="10"/>
        <rFont val="Arial"/>
        <family val="2"/>
      </rPr>
      <t>(Pos.=underskud, neg. = overskud)</t>
    </r>
  </si>
  <si>
    <r>
      <t xml:space="preserve">Resultat i procent </t>
    </r>
    <r>
      <rPr>
        <i/>
        <sz val="8"/>
        <rFont val="Arial"/>
        <family val="2"/>
      </rPr>
      <t>(Pos.=underskud, neg. = overskud)</t>
    </r>
  </si>
  <si>
    <t>Notér evt. beløb til indregning 'År+2'  (NB: kun off.tilb.):</t>
  </si>
  <si>
    <t>Takstberegningsgrundlag</t>
  </si>
  <si>
    <t>Antal pladser</t>
  </si>
  <si>
    <r>
      <t xml:space="preserve">Belægningsprocent </t>
    </r>
    <r>
      <rPr>
        <sz val="8"/>
        <rFont val="Arial"/>
        <family val="2"/>
      </rPr>
      <t>- indtastes som decimalbrøk, fx 0,95</t>
    </r>
  </si>
  <si>
    <t>Effektive pladser</t>
  </si>
  <si>
    <t>Dage/døgn i året</t>
  </si>
  <si>
    <t>Dags/døgnenheder pr. år</t>
  </si>
  <si>
    <t>Takst pr. plads/enhed pr år</t>
  </si>
  <si>
    <t>Takst pr. dag/døgn</t>
  </si>
  <si>
    <t>pct. p.a.</t>
  </si>
  <si>
    <t>Indir. omk. - afskrivning/flerår.ejd.omk. mv.</t>
  </si>
  <si>
    <t>Indir. omk. - andel af central ledelse (OH kto 6)</t>
  </si>
  <si>
    <t>Indir. omk. - andel af decentral ledelse (OH kto 5)</t>
  </si>
  <si>
    <t>Direkte nettoomk. på inst. (6-13)</t>
  </si>
  <si>
    <t>Nettoomk. excl OH kto 6 (14-7)</t>
  </si>
  <si>
    <t>1/4 områdeleder (vurderet andel)</t>
  </si>
  <si>
    <t xml:space="preserve">"Overhead-til-overhead"  </t>
  </si>
  <si>
    <t>2) Indirekte opgørelse - overheadprocent central admin. ('Kto.6')</t>
  </si>
  <si>
    <t>"ØS-kørsel" for inst.'s medarb. ; 1/10 ØF-kontoransat</t>
  </si>
  <si>
    <t>5 pc'ere á 4000 kr i årlig intern support</t>
  </si>
  <si>
    <t>Tjek - takstprovenu</t>
  </si>
  <si>
    <t>Ved efterkalk.: Notér evt. faktisk takst for regnskabsåret:</t>
  </si>
  <si>
    <t>Omkostninger i alt før tidl.års result.indr.</t>
  </si>
  <si>
    <t>Regul. ift. tidl. års result. (kun budget/takstbrg.! Og kun off. tilbud!)</t>
  </si>
  <si>
    <t>Full-Cost</t>
  </si>
  <si>
    <t>Sted/tilbud:</t>
  </si>
  <si>
    <t>ABC-model, pladsbaseret, basis og ydelses-opdelt</t>
  </si>
  <si>
    <t>TB el. EK</t>
  </si>
  <si>
    <t>Net.pl.</t>
  </si>
  <si>
    <t>Overhead - decentral og central administration</t>
  </si>
  <si>
    <t>Underskud 2024:</t>
  </si>
  <si>
    <t>Direkte omkostninger i alt (DO1)</t>
  </si>
  <si>
    <t>Direkte omkostninger i alt (DO2)</t>
  </si>
  <si>
    <t>Her kan institutionens/tilbuddets regnskabstal kopieres over fra ØS (økonomisystem - Opus eller lign.) - ved efterkalkulation af taksten</t>
  </si>
  <si>
    <t>Andel af fælles administration - 'Rådhuset'</t>
  </si>
  <si>
    <t xml:space="preserve">Enten anvendes en direkte omkostningsopgørelse (1) af det fælles administrative overhead - </t>
  </si>
  <si>
    <t>- eller også kan anvendes en procentandel af institutionens omkostninger (2), jf. rammeaftaler mellem kommuner og region</t>
  </si>
  <si>
    <t>Opgørelse af fælles central omkostninger - konto (5 og) 6</t>
  </si>
  <si>
    <t>- evt. en kombination, hvis der er (de)central fællesadm. på kto. 5</t>
  </si>
  <si>
    <t>I 2024 er der et akkum. underskud på 100.000.</t>
  </si>
  <si>
    <t>Forrentning heraf kan indregnes i taksten for 2026 - således:</t>
  </si>
  <si>
    <t>Indregning af tidligere års resultat</t>
  </si>
  <si>
    <t>Hensatte overskudsbeløb skal anvendes indenfor 5 år.</t>
  </si>
  <si>
    <t>De nærmere regler for håndteringen er:</t>
  </si>
  <si>
    <t xml:space="preserve">Resultat indregnes ud fra beregningsgrundlaget (dvs. ’det der gav taksten’) ift. årets regnskab for levering af ydelsen (’takst x realiseret aktivitet’). </t>
  </si>
  <si>
    <t>Overskud op til 5% kan indregnes i efterfølgende beregningsgrundlag – eller hensættes til senere brug.</t>
  </si>
  <si>
    <t>Overskud over 5% skal indregnes ’2 år efter’.</t>
  </si>
  <si>
    <t>Underskud under 5% skal indregnes ’2 år efter’.</t>
  </si>
  <si>
    <t>Underskud op til 5% kan ikke indregnes, men skal dækkes af tidligere års overskud eller effektiviseringer.</t>
  </si>
  <si>
    <t>Hensatte overskud kan ’puljes’ indenfor driftsherrens samlede tilbudsvifte – dog således at der ikke kan ’krydsdækkes’ mellem ’rammeaftaletilbud’ og ’ikke-rammeaftaletilbud’.</t>
  </si>
  <si>
    <t xml:space="preserve">  Hvis kommunen (el. regionen) har ’Fuld BUM’, vil resultatet evt. kunne aflæses direkte i ØS.</t>
  </si>
  <si>
    <t xml:space="preserve">  Hvis kommunen (el. regionen) ikke kører BUM (eller kun ’delvis BUM’), skal der ske egentlig efterkalkulation ’udenfor’ ØS.</t>
  </si>
  <si>
    <t>For private driftsherrer er der ikke tilsvarende regler.</t>
  </si>
  <si>
    <r>
      <t xml:space="preserve">For </t>
    </r>
    <r>
      <rPr>
        <u/>
        <sz val="10"/>
        <rFont val="Arial"/>
        <family val="2"/>
      </rPr>
      <t>offentlige</t>
    </r>
    <r>
      <rPr>
        <sz val="10"/>
        <rFont val="Arial"/>
        <family val="2"/>
      </rPr>
      <t xml:space="preserve"> driftsherrer - kommuner og regioner - skal tidligere års resultat indregnes i </t>
    </r>
    <r>
      <rPr>
        <u/>
        <sz val="10"/>
        <rFont val="Arial"/>
        <family val="2"/>
      </rPr>
      <t>takstberegningen</t>
    </r>
    <r>
      <rPr>
        <sz val="10"/>
        <rFont val="Arial"/>
        <family val="2"/>
      </rPr>
      <t xml:space="preserve"> iht  Finansieringsbekg. § 3-7</t>
    </r>
  </si>
  <si>
    <t>Ved efterkalkulation indgår denne post alene ved sin påvirkning på taksten (=&gt; omsætning) - men er ikke en omkostning i regnskabsmæssig henseende.</t>
  </si>
  <si>
    <t>På denne fane - eller andetsteds - kan beregninger ifm. indregning af tidligere års resultat dokumenteres.</t>
  </si>
  <si>
    <t>Her kan institutionens/tilbuddets budget kopieres over fra ØS (økonomisystem - Opus, Prisme eller lign.) - ifm. takstberegningen.</t>
  </si>
  <si>
    <t>Kontonavn</t>
  </si>
  <si>
    <t>..</t>
  </si>
  <si>
    <t>…</t>
  </si>
  <si>
    <t>Samlede forrentning af anlægskapital</t>
  </si>
  <si>
    <t>Administration på institutionen (administrationsløn, kontoromkostninger, edb m.v.)</t>
  </si>
  <si>
    <t>Eff. pladser</t>
  </si>
  <si>
    <t>Hvis tom: sæt '0,00001' 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</si>
</sst>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quot;kr&quot;\ #,##0.00"/>
    <numFmt numFmtId="167" formatCode="_(* #,##0_);_(* \(#,##0\);_(* &quot;-&quot;??_);_(@_)"/>
    <numFmt numFmtId="168" formatCode="#,##0.00\ ;[Red]\-\ #,##0.00\ "/>
    <numFmt numFmtId="169" formatCode="#,##0\ ;[Red]\-\ #,##0\ "/>
    <numFmt numFmtId="170" formatCode="#,##0.0"/>
    <numFmt numFmtId="171" formatCode="0.0"/>
  </numFmts>
  <fonts count="49">
    <font>
      <sz val="10"/>
      <name val="Arial"/>
    </font>
    <font>
      <sz val="10"/>
      <name val="Arial"/>
      <family val="2"/>
    </font>
    <font>
      <sz val="8"/>
      <name val="Arial"/>
      <family val="2"/>
    </font>
    <font>
      <b/>
      <sz val="10"/>
      <name val="Arial"/>
      <family val="2"/>
    </font>
    <font>
      <i/>
      <sz val="10"/>
      <name val="Arial"/>
      <family val="2"/>
    </font>
    <font>
      <b/>
      <sz val="8"/>
      <color indexed="81"/>
      <name val="Tahoma"/>
      <family val="2"/>
    </font>
    <font>
      <b/>
      <sz val="10"/>
      <color indexed="9"/>
      <name val="Arial"/>
      <family val="2"/>
    </font>
    <font>
      <b/>
      <sz val="12"/>
      <color indexed="10"/>
      <name val="Arial"/>
      <family val="2"/>
    </font>
    <font>
      <b/>
      <sz val="10"/>
      <name val="Arial Narrow"/>
      <family val="2"/>
    </font>
    <font>
      <sz val="8"/>
      <color indexed="81"/>
      <name val="Tahoma"/>
      <family val="2"/>
    </font>
    <font>
      <sz val="10"/>
      <name val="Arial"/>
      <family val="2"/>
    </font>
    <font>
      <sz val="10"/>
      <name val="Arial"/>
      <family val="2"/>
    </font>
    <font>
      <b/>
      <sz val="14"/>
      <name val="Arial"/>
      <family val="2"/>
    </font>
    <font>
      <b/>
      <sz val="12"/>
      <name val="Arial"/>
      <family val="2"/>
    </font>
    <font>
      <b/>
      <i/>
      <sz val="11"/>
      <name val="Arial"/>
      <family val="2"/>
    </font>
    <font>
      <b/>
      <i/>
      <sz val="10"/>
      <name val="Arial"/>
      <family val="2"/>
    </font>
    <font>
      <b/>
      <sz val="8"/>
      <name val="Arial"/>
      <family val="2"/>
    </font>
    <font>
      <b/>
      <sz val="10"/>
      <color indexed="56"/>
      <name val="Arial"/>
      <family val="2"/>
    </font>
    <font>
      <b/>
      <sz val="12"/>
      <color indexed="56"/>
      <name val="Arial"/>
      <family val="2"/>
    </font>
    <font>
      <b/>
      <sz val="12"/>
      <color indexed="18"/>
      <name val="Arial"/>
      <family val="2"/>
    </font>
    <font>
      <i/>
      <sz val="10"/>
      <color indexed="18"/>
      <name val="Arial"/>
      <family val="2"/>
    </font>
    <font>
      <b/>
      <sz val="11"/>
      <name val="Arial"/>
      <family val="2"/>
    </font>
    <font>
      <i/>
      <u/>
      <sz val="10"/>
      <name val="Arial"/>
      <family val="2"/>
    </font>
    <font>
      <sz val="11"/>
      <name val="Calibri"/>
      <family val="2"/>
    </font>
    <font>
      <b/>
      <i/>
      <sz val="11"/>
      <name val="Calibri"/>
      <family val="2"/>
    </font>
    <font>
      <b/>
      <u/>
      <sz val="10"/>
      <name val="Arial"/>
      <family val="2"/>
    </font>
    <font>
      <b/>
      <sz val="9"/>
      <name val="Arial"/>
      <family val="2"/>
    </font>
    <font>
      <sz val="9"/>
      <color indexed="81"/>
      <name val="Tahoma"/>
      <family val="2"/>
    </font>
    <font>
      <b/>
      <sz val="9"/>
      <color indexed="81"/>
      <name val="Tahoma"/>
      <family val="2"/>
    </font>
    <font>
      <b/>
      <sz val="11"/>
      <color indexed="56"/>
      <name val="Arial"/>
      <family val="2"/>
    </font>
    <font>
      <b/>
      <u/>
      <sz val="11"/>
      <color indexed="56"/>
      <name val="Arial"/>
      <family val="2"/>
    </font>
    <font>
      <sz val="9"/>
      <name val="Arial"/>
      <family val="2"/>
    </font>
    <font>
      <i/>
      <sz val="9"/>
      <name val="Arial"/>
      <family val="2"/>
    </font>
    <font>
      <u/>
      <sz val="10"/>
      <name val="Arial"/>
      <family val="2"/>
    </font>
    <font>
      <i/>
      <sz val="8"/>
      <color theme="1" tint="0.34998626667073579"/>
      <name val="Arial"/>
      <family val="2"/>
    </font>
    <font>
      <i/>
      <sz val="10"/>
      <color theme="1" tint="0.34998626667073579"/>
      <name val="Arial"/>
      <family val="2"/>
    </font>
    <font>
      <sz val="9"/>
      <color indexed="81"/>
      <name val="Tahoma"/>
      <charset val="1"/>
    </font>
    <font>
      <b/>
      <sz val="9"/>
      <color indexed="81"/>
      <name val="Tahoma"/>
      <charset val="1"/>
    </font>
    <font>
      <sz val="8"/>
      <name val="Arial"/>
    </font>
    <font>
      <b/>
      <u/>
      <sz val="10"/>
      <name val="Proxima Nova Rg"/>
    </font>
    <font>
      <sz val="10"/>
      <name val="Proxima Nova Rg"/>
    </font>
    <font>
      <b/>
      <sz val="10"/>
      <name val="Proxima Nova Rg"/>
    </font>
    <font>
      <b/>
      <i/>
      <sz val="10"/>
      <name val="Proxima Nova Rg"/>
    </font>
    <font>
      <sz val="10"/>
      <color theme="0" tint="-0.34998626667073579"/>
      <name val="Proxima Nova Rg"/>
    </font>
    <font>
      <i/>
      <sz val="10"/>
      <name val="Proxima Nova Rg"/>
    </font>
    <font>
      <b/>
      <i/>
      <sz val="9"/>
      <name val="Arial"/>
      <family val="2"/>
    </font>
    <font>
      <sz val="9"/>
      <color theme="1"/>
      <name val="Calibri"/>
      <family val="2"/>
      <scheme val="minor"/>
    </font>
    <font>
      <i/>
      <sz val="8"/>
      <name val="Arial"/>
      <family val="2"/>
    </font>
    <font>
      <b/>
      <sz val="8"/>
      <color theme="0" tint="-0.34998626667073579"/>
      <name val="Arial"/>
      <family val="2"/>
    </font>
  </fonts>
  <fills count="1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rgb="FFCCFF66"/>
        <bgColor indexed="64"/>
      </patternFill>
    </fill>
    <fill>
      <patternFill patternType="solid">
        <fgColor theme="4" tint="0.79998168889431442"/>
        <bgColor indexed="64"/>
      </patternFill>
    </fill>
  </fills>
  <borders count="3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11">
    <xf numFmtId="0" fontId="0" fillId="0" borderId="0" xfId="0"/>
    <xf numFmtId="0" fontId="3" fillId="0" borderId="0" xfId="0" applyFont="1" applyAlignment="1">
      <alignment horizontal="center"/>
    </xf>
    <xf numFmtId="0" fontId="4" fillId="0" borderId="0" xfId="0" applyFont="1" applyAlignment="1">
      <alignment wrapText="1"/>
    </xf>
    <xf numFmtId="0" fontId="3" fillId="0" borderId="0" xfId="0" applyFont="1"/>
    <xf numFmtId="0" fontId="4" fillId="0" borderId="0" xfId="0" applyFont="1"/>
    <xf numFmtId="0" fontId="3" fillId="2" borderId="0" xfId="0" applyFont="1" applyFill="1"/>
    <xf numFmtId="0" fontId="0" fillId="2" borderId="0" xfId="0" applyFill="1"/>
    <xf numFmtId="0" fontId="3" fillId="2" borderId="0" xfId="0" applyFont="1" applyFill="1" applyAlignment="1">
      <alignment horizontal="center"/>
    </xf>
    <xf numFmtId="0" fontId="3" fillId="2" borderId="1" xfId="0" applyFont="1" applyFill="1" applyBorder="1"/>
    <xf numFmtId="3" fontId="3" fillId="2" borderId="2" xfId="0" applyNumberFormat="1" applyFont="1" applyFill="1" applyBorder="1"/>
    <xf numFmtId="0" fontId="3" fillId="2" borderId="0" xfId="0" applyFont="1" applyFill="1" applyAlignment="1">
      <alignment vertical="top"/>
    </xf>
    <xf numFmtId="0" fontId="3" fillId="2" borderId="3" xfId="0" applyFont="1" applyFill="1" applyBorder="1"/>
    <xf numFmtId="3" fontId="3" fillId="2" borderId="4" xfId="0" applyNumberFormat="1" applyFont="1" applyFill="1" applyBorder="1"/>
    <xf numFmtId="0" fontId="3" fillId="2" borderId="5" xfId="0" applyFont="1" applyFill="1" applyBorder="1"/>
    <xf numFmtId="3" fontId="3" fillId="2" borderId="5" xfId="0" applyNumberFormat="1" applyFont="1" applyFill="1" applyBorder="1"/>
    <xf numFmtId="0" fontId="7" fillId="2" borderId="0" xfId="0" applyFont="1" applyFill="1"/>
    <xf numFmtId="3" fontId="3" fillId="2" borderId="0" xfId="0" applyNumberFormat="1" applyFont="1" applyFill="1"/>
    <xf numFmtId="0" fontId="3" fillId="2" borderId="0" xfId="0" quotePrefix="1" applyFont="1" applyFill="1" applyAlignment="1">
      <alignment horizontal="center"/>
    </xf>
    <xf numFmtId="0" fontId="0" fillId="2" borderId="5" xfId="0" applyFill="1" applyBorder="1" applyAlignment="1">
      <alignment vertical="top" wrapText="1"/>
    </xf>
    <xf numFmtId="0" fontId="0" fillId="2" borderId="6" xfId="0" applyFill="1" applyBorder="1" applyAlignment="1">
      <alignment vertical="top" wrapText="1"/>
    </xf>
    <xf numFmtId="0" fontId="0" fillId="0" borderId="6" xfId="0" applyBorder="1" applyProtection="1">
      <protection locked="0"/>
    </xf>
    <xf numFmtId="3" fontId="0" fillId="2" borderId="6" xfId="0" applyNumberFormat="1" applyFill="1" applyBorder="1"/>
    <xf numFmtId="3" fontId="0" fillId="2" borderId="7" xfId="0" applyNumberFormat="1" applyFill="1" applyBorder="1"/>
    <xf numFmtId="3" fontId="0" fillId="2" borderId="8" xfId="0" applyNumberFormat="1" applyFill="1" applyBorder="1"/>
    <xf numFmtId="0" fontId="0" fillId="0" borderId="9" xfId="0" applyBorder="1" applyProtection="1">
      <protection locked="0"/>
    </xf>
    <xf numFmtId="3" fontId="0" fillId="2" borderId="9" xfId="0" applyNumberFormat="1" applyFill="1" applyBorder="1"/>
    <xf numFmtId="3" fontId="0" fillId="2" borderId="10" xfId="0" applyNumberFormat="1" applyFill="1" applyBorder="1"/>
    <xf numFmtId="3" fontId="0" fillId="2" borderId="11" xfId="0" applyNumberFormat="1" applyFill="1" applyBorder="1"/>
    <xf numFmtId="0" fontId="0" fillId="0" borderId="12" xfId="0" applyBorder="1" applyProtection="1">
      <protection locked="0"/>
    </xf>
    <xf numFmtId="3" fontId="0" fillId="2" borderId="12" xfId="0" applyNumberFormat="1" applyFill="1" applyBorder="1"/>
    <xf numFmtId="3" fontId="0" fillId="2" borderId="13" xfId="0" applyNumberFormat="1" applyFill="1" applyBorder="1"/>
    <xf numFmtId="3" fontId="0" fillId="2" borderId="14" xfId="0" applyNumberFormat="1" applyFill="1" applyBorder="1"/>
    <xf numFmtId="3" fontId="0" fillId="2" borderId="0" xfId="0" applyNumberFormat="1" applyFill="1"/>
    <xf numFmtId="49" fontId="8" fillId="0" borderId="0" xfId="0" applyNumberFormat="1" applyFont="1" applyAlignment="1">
      <alignment horizontal="left" vertical="top"/>
    </xf>
    <xf numFmtId="3" fontId="3" fillId="0" borderId="0" xfId="0" applyNumberFormat="1" applyFont="1"/>
    <xf numFmtId="0" fontId="4" fillId="0" borderId="16" xfId="0" applyFont="1" applyBorder="1"/>
    <xf numFmtId="0" fontId="11" fillId="0" borderId="0" xfId="0" applyFont="1"/>
    <xf numFmtId="0" fontId="12" fillId="0" borderId="0" xfId="0" applyFont="1" applyAlignment="1">
      <alignment horizontal="left"/>
    </xf>
    <xf numFmtId="3" fontId="11" fillId="0" borderId="0" xfId="0" applyNumberFormat="1" applyFont="1"/>
    <xf numFmtId="3" fontId="11" fillId="5" borderId="18" xfId="0" applyNumberFormat="1" applyFont="1" applyFill="1" applyBorder="1"/>
    <xf numFmtId="0" fontId="11" fillId="0" borderId="20" xfId="0" applyFont="1" applyBorder="1"/>
    <xf numFmtId="0" fontId="3" fillId="0" borderId="17" xfId="0" applyFont="1" applyBorder="1" applyAlignment="1">
      <alignment horizontal="center"/>
    </xf>
    <xf numFmtId="0" fontId="3" fillId="0" borderId="18" xfId="0" applyFont="1" applyBorder="1" applyAlignment="1">
      <alignment horizontal="center"/>
    </xf>
    <xf numFmtId="0" fontId="3" fillId="0" borderId="21" xfId="0" applyFont="1" applyBorder="1" applyAlignment="1">
      <alignment horizontal="center"/>
    </xf>
    <xf numFmtId="0" fontId="3" fillId="0" borderId="15" xfId="0" applyFont="1" applyBorder="1" applyAlignment="1">
      <alignment horizontal="center"/>
    </xf>
    <xf numFmtId="0" fontId="3" fillId="0" borderId="23"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right"/>
    </xf>
    <xf numFmtId="3" fontId="3" fillId="6" borderId="5" xfId="0" applyNumberFormat="1" applyFont="1" applyFill="1" applyBorder="1" applyAlignment="1">
      <alignment vertical="top" wrapText="1"/>
    </xf>
    <xf numFmtId="0" fontId="13" fillId="2" borderId="0" xfId="0" applyFont="1" applyFill="1" applyAlignment="1">
      <alignment horizontal="left"/>
    </xf>
    <xf numFmtId="0" fontId="3" fillId="6" borderId="5" xfId="0" applyFont="1" applyFill="1" applyBorder="1" applyAlignment="1">
      <alignment vertical="top" wrapText="1"/>
    </xf>
    <xf numFmtId="3" fontId="0" fillId="7" borderId="6" xfId="0" applyNumberFormat="1" applyFill="1" applyBorder="1" applyProtection="1">
      <protection locked="0"/>
    </xf>
    <xf numFmtId="3" fontId="0" fillId="7" borderId="9" xfId="0" applyNumberFormat="1" applyFill="1" applyBorder="1" applyProtection="1">
      <protection locked="0"/>
    </xf>
    <xf numFmtId="0" fontId="0" fillId="7" borderId="9" xfId="0" applyFill="1" applyBorder="1" applyProtection="1">
      <protection locked="0"/>
    </xf>
    <xf numFmtId="3" fontId="0" fillId="7" borderId="12" xfId="0" applyNumberFormat="1" applyFill="1" applyBorder="1" applyProtection="1">
      <protection locked="0"/>
    </xf>
    <xf numFmtId="0" fontId="11" fillId="2" borderId="5" xfId="0" applyFont="1" applyFill="1" applyBorder="1" applyAlignment="1">
      <alignment vertical="top" wrapText="1"/>
    </xf>
    <xf numFmtId="0" fontId="3" fillId="6" borderId="5" xfId="0" applyFont="1" applyFill="1" applyBorder="1" applyAlignment="1">
      <alignment horizontal="right" vertical="top" wrapText="1"/>
    </xf>
    <xf numFmtId="49" fontId="12" fillId="0" borderId="0" xfId="0" applyNumberFormat="1" applyFont="1" applyAlignment="1">
      <alignment horizontal="left" vertical="top"/>
    </xf>
    <xf numFmtId="49" fontId="11" fillId="0" borderId="0" xfId="0" applyNumberFormat="1" applyFont="1" applyAlignment="1">
      <alignment horizontal="center" vertical="top"/>
    </xf>
    <xf numFmtId="168" fontId="17" fillId="0" borderId="0" xfId="0" applyNumberFormat="1" applyFont="1" applyAlignment="1">
      <alignment horizontal="right" vertical="top"/>
    </xf>
    <xf numFmtId="4" fontId="11" fillId="0" borderId="0" xfId="0" applyNumberFormat="1" applyFont="1" applyAlignment="1">
      <alignment horizontal="right" vertical="top"/>
    </xf>
    <xf numFmtId="49" fontId="3" fillId="0" borderId="0" xfId="0" applyNumberFormat="1" applyFont="1" applyAlignment="1">
      <alignment horizontal="left" vertical="top"/>
    </xf>
    <xf numFmtId="168" fontId="18" fillId="0" borderId="0" xfId="0" applyNumberFormat="1" applyFont="1" applyAlignment="1">
      <alignment horizontal="left"/>
    </xf>
    <xf numFmtId="168" fontId="18" fillId="0" borderId="0" xfId="0" applyNumberFormat="1" applyFont="1" applyAlignment="1">
      <alignment horizontal="right"/>
    </xf>
    <xf numFmtId="49" fontId="19" fillId="0" borderId="0" xfId="0" applyNumberFormat="1" applyFont="1" applyAlignment="1">
      <alignment horizontal="left"/>
    </xf>
    <xf numFmtId="49" fontId="11" fillId="0" borderId="0" xfId="0" applyNumberFormat="1" applyFont="1" applyAlignment="1">
      <alignment horizontal="center"/>
    </xf>
    <xf numFmtId="168" fontId="17" fillId="0" borderId="0" xfId="0" applyNumberFormat="1" applyFont="1" applyAlignment="1">
      <alignment horizontal="right"/>
    </xf>
    <xf numFmtId="4" fontId="11" fillId="0" borderId="0" xfId="0" applyNumberFormat="1" applyFont="1" applyAlignment="1">
      <alignment horizontal="right"/>
    </xf>
    <xf numFmtId="0" fontId="3" fillId="3" borderId="17" xfId="0" applyFont="1" applyFill="1" applyBorder="1" applyAlignment="1">
      <alignment horizontal="left" vertical="center" wrapText="1"/>
    </xf>
    <xf numFmtId="0" fontId="16" fillId="3" borderId="2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4" fillId="4" borderId="20" xfId="0" applyFont="1" applyFill="1" applyBorder="1"/>
    <xf numFmtId="0" fontId="4" fillId="4" borderId="25" xfId="0" applyFont="1" applyFill="1" applyBorder="1"/>
    <xf numFmtId="3" fontId="15" fillId="4" borderId="26" xfId="0" applyNumberFormat="1" applyFont="1" applyFill="1" applyBorder="1" applyProtection="1">
      <protection hidden="1"/>
    </xf>
    <xf numFmtId="0" fontId="3" fillId="0" borderId="16" xfId="0" applyFont="1" applyBorder="1" applyProtection="1">
      <protection locked="0"/>
    </xf>
    <xf numFmtId="0" fontId="11" fillId="0" borderId="27" xfId="0" applyFont="1" applyBorder="1" applyProtection="1">
      <protection locked="0"/>
    </xf>
    <xf numFmtId="3" fontId="11" fillId="0" borderId="28" xfId="0" applyNumberFormat="1" applyFont="1" applyBorder="1" applyProtection="1">
      <protection locked="0"/>
    </xf>
    <xf numFmtId="0" fontId="11" fillId="0" borderId="16" xfId="0" applyFont="1" applyBorder="1" applyAlignment="1" applyProtection="1">
      <alignment horizontal="left" indent="1"/>
      <protection locked="0"/>
    </xf>
    <xf numFmtId="167" fontId="11" fillId="0" borderId="27" xfId="1" applyNumberFormat="1" applyFont="1" applyFill="1" applyBorder="1" applyProtection="1">
      <protection locked="0"/>
    </xf>
    <xf numFmtId="0" fontId="20" fillId="0" borderId="16" xfId="0" applyFont="1" applyBorder="1" applyAlignment="1" applyProtection="1">
      <alignment horizontal="left" indent="2"/>
      <protection locked="0"/>
    </xf>
    <xf numFmtId="164" fontId="20" fillId="0" borderId="27" xfId="1" applyFont="1" applyFill="1" applyBorder="1" applyProtection="1">
      <protection locked="0"/>
    </xf>
    <xf numFmtId="10" fontId="20" fillId="0" borderId="27" xfId="2" applyNumberFormat="1" applyFont="1" applyFill="1" applyBorder="1" applyProtection="1">
      <protection locked="0"/>
    </xf>
    <xf numFmtId="0" fontId="11" fillId="0" borderId="20" xfId="0" applyFont="1" applyBorder="1" applyProtection="1">
      <protection locked="0"/>
    </xf>
    <xf numFmtId="167" fontId="11" fillId="0" borderId="25" xfId="1" applyNumberFormat="1" applyFont="1" applyFill="1" applyBorder="1" applyProtection="1">
      <protection locked="0"/>
    </xf>
    <xf numFmtId="3" fontId="11" fillId="0" borderId="26" xfId="0" applyNumberFormat="1" applyFont="1" applyBorder="1" applyProtection="1">
      <protection locked="0"/>
    </xf>
    <xf numFmtId="3" fontId="15" fillId="4" borderId="26" xfId="0" applyNumberFormat="1" applyFont="1" applyFill="1" applyBorder="1"/>
    <xf numFmtId="0" fontId="11" fillId="0" borderId="25" xfId="0" applyFont="1" applyBorder="1" applyProtection="1">
      <protection locked="0"/>
    </xf>
    <xf numFmtId="0" fontId="11" fillId="0" borderId="29" xfId="0" applyFont="1" applyBorder="1" applyProtection="1">
      <protection locked="0"/>
    </xf>
    <xf numFmtId="3" fontId="11" fillId="0" borderId="23" xfId="0" applyNumberFormat="1" applyFont="1" applyBorder="1" applyProtection="1">
      <protection locked="0"/>
    </xf>
    <xf numFmtId="0" fontId="11" fillId="0" borderId="25" xfId="0" applyFont="1" applyBorder="1"/>
    <xf numFmtId="3" fontId="15" fillId="0" borderId="26" xfId="0" applyNumberFormat="1" applyFont="1" applyBorder="1"/>
    <xf numFmtId="166" fontId="11" fillId="0" borderId="0" xfId="0" applyNumberFormat="1" applyFont="1"/>
    <xf numFmtId="3" fontId="15" fillId="0" borderId="30" xfId="0" applyNumberFormat="1" applyFont="1" applyBorder="1"/>
    <xf numFmtId="49" fontId="11" fillId="0" borderId="0" xfId="0" applyNumberFormat="1" applyFont="1" applyAlignment="1">
      <alignment horizontal="left" vertical="top"/>
    </xf>
    <xf numFmtId="168" fontId="11" fillId="0" borderId="0" xfId="0" applyNumberFormat="1" applyFont="1" applyAlignment="1">
      <alignment horizontal="right"/>
    </xf>
    <xf numFmtId="3" fontId="11" fillId="0" borderId="28" xfId="0" applyNumberFormat="1" applyFont="1" applyBorder="1"/>
    <xf numFmtId="0" fontId="0" fillId="0" borderId="19" xfId="0" applyBorder="1"/>
    <xf numFmtId="0" fontId="4" fillId="0" borderId="16" xfId="0" applyFont="1" applyBorder="1" applyAlignment="1">
      <alignment horizontal="right"/>
    </xf>
    <xf numFmtId="0" fontId="4" fillId="0" borderId="28" xfId="0" applyFont="1" applyBorder="1"/>
    <xf numFmtId="0" fontId="4" fillId="0" borderId="20" xfId="0" applyFont="1" applyBorder="1" applyAlignment="1">
      <alignment horizontal="right"/>
    </xf>
    <xf numFmtId="0" fontId="4" fillId="0" borderId="26" xfId="0" applyFont="1" applyBorder="1"/>
    <xf numFmtId="0" fontId="4" fillId="0" borderId="21" xfId="0" applyFont="1" applyBorder="1"/>
    <xf numFmtId="3" fontId="11" fillId="0" borderId="22" xfId="1" applyNumberFormat="1" applyFont="1" applyBorder="1"/>
    <xf numFmtId="3" fontId="11" fillId="0" borderId="15" xfId="1" applyNumberFormat="1" applyFont="1" applyBorder="1"/>
    <xf numFmtId="3" fontId="11" fillId="0" borderId="16" xfId="1" applyNumberFormat="1" applyFont="1" applyBorder="1"/>
    <xf numFmtId="3" fontId="11" fillId="0" borderId="0" xfId="1" applyNumberFormat="1" applyFont="1" applyBorder="1"/>
    <xf numFmtId="3" fontId="11" fillId="0" borderId="28" xfId="1" applyNumberFormat="1" applyFont="1" applyBorder="1"/>
    <xf numFmtId="2" fontId="15" fillId="4" borderId="26" xfId="0" applyNumberFormat="1" applyFont="1" applyFill="1" applyBorder="1" applyProtection="1">
      <protection hidden="1"/>
    </xf>
    <xf numFmtId="2" fontId="11" fillId="0" borderId="28" xfId="1" applyNumberFormat="1" applyFont="1" applyFill="1" applyBorder="1" applyProtection="1">
      <protection locked="0"/>
    </xf>
    <xf numFmtId="2" fontId="11" fillId="0" borderId="26" xfId="1" applyNumberFormat="1" applyFont="1" applyFill="1" applyBorder="1" applyProtection="1">
      <protection locked="0"/>
    </xf>
    <xf numFmtId="2" fontId="11" fillId="0" borderId="0" xfId="0" applyNumberFormat="1" applyFont="1" applyAlignment="1">
      <alignment horizontal="right" vertical="top"/>
    </xf>
    <xf numFmtId="2" fontId="11" fillId="0" borderId="0" xfId="0" applyNumberFormat="1" applyFont="1" applyAlignment="1">
      <alignment horizontal="right"/>
    </xf>
    <xf numFmtId="2" fontId="16" fillId="3" borderId="21" xfId="0" applyNumberFormat="1" applyFont="1" applyFill="1" applyBorder="1" applyAlignment="1">
      <alignment horizontal="center" vertical="center" wrapText="1"/>
    </xf>
    <xf numFmtId="2" fontId="11" fillId="0" borderId="28" xfId="0" applyNumberFormat="1" applyFont="1" applyBorder="1" applyProtection="1">
      <protection locked="0"/>
    </xf>
    <xf numFmtId="2" fontId="11" fillId="0" borderId="26" xfId="0" applyNumberFormat="1" applyFont="1" applyBorder="1" applyProtection="1">
      <protection locked="0"/>
    </xf>
    <xf numFmtId="2" fontId="11" fillId="0" borderId="23" xfId="0" applyNumberFormat="1" applyFont="1" applyBorder="1" applyProtection="1">
      <protection locked="0"/>
    </xf>
    <xf numFmtId="2" fontId="15" fillId="0" borderId="26" xfId="0" applyNumberFormat="1" applyFont="1" applyBorder="1"/>
    <xf numFmtId="9" fontId="11" fillId="0" borderId="27" xfId="2" applyFont="1" applyFill="1" applyBorder="1" applyProtection="1">
      <protection locked="0"/>
    </xf>
    <xf numFmtId="0" fontId="14" fillId="4" borderId="24" xfId="0" applyFont="1" applyFill="1" applyBorder="1"/>
    <xf numFmtId="3" fontId="11" fillId="0" borderId="29" xfId="0" applyNumberFormat="1" applyFont="1" applyBorder="1"/>
    <xf numFmtId="3" fontId="11" fillId="0" borderId="23" xfId="1" applyNumberFormat="1" applyFont="1" applyBorder="1"/>
    <xf numFmtId="3" fontId="11" fillId="0" borderId="27" xfId="0" applyNumberFormat="1" applyFont="1" applyBorder="1"/>
    <xf numFmtId="3" fontId="11" fillId="0" borderId="27" xfId="0" applyNumberFormat="1" applyFont="1" applyBorder="1" applyAlignment="1">
      <alignment horizontal="center"/>
    </xf>
    <xf numFmtId="3" fontId="11" fillId="0" borderId="25" xfId="0" applyNumberFormat="1" applyFont="1" applyBorder="1" applyAlignment="1">
      <alignment horizontal="center"/>
    </xf>
    <xf numFmtId="3" fontId="11" fillId="0" borderId="26" xfId="0" applyNumberFormat="1" applyFont="1" applyBorder="1"/>
    <xf numFmtId="0" fontId="10" fillId="0" borderId="0" xfId="0" applyFont="1"/>
    <xf numFmtId="0" fontId="14" fillId="0" borderId="0" xfId="0" applyFont="1"/>
    <xf numFmtId="0" fontId="22" fillId="0" borderId="0" xfId="0" applyFont="1"/>
    <xf numFmtId="9" fontId="0" fillId="0" borderId="0" xfId="0" applyNumberFormat="1"/>
    <xf numFmtId="167" fontId="0" fillId="0" borderId="0" xfId="1" applyNumberFormat="1" applyFont="1"/>
    <xf numFmtId="167" fontId="3" fillId="0" borderId="0" xfId="1" applyNumberFormat="1" applyFont="1"/>
    <xf numFmtId="0" fontId="15" fillId="0" borderId="0" xfId="0" applyFont="1"/>
    <xf numFmtId="0" fontId="23" fillId="0" borderId="0" xfId="0" applyFont="1"/>
    <xf numFmtId="0" fontId="21" fillId="0" borderId="0" xfId="0" applyFont="1"/>
    <xf numFmtId="0" fontId="0" fillId="0" borderId="22" xfId="0" applyBorder="1"/>
    <xf numFmtId="0" fontId="10" fillId="0" borderId="19" xfId="0" applyFont="1" applyBorder="1"/>
    <xf numFmtId="0" fontId="10" fillId="0" borderId="22" xfId="0" applyFont="1" applyBorder="1"/>
    <xf numFmtId="0" fontId="10" fillId="0" borderId="16" xfId="0" applyFont="1" applyBorder="1"/>
    <xf numFmtId="0" fontId="24" fillId="0" borderId="0" xfId="0" applyFont="1"/>
    <xf numFmtId="0" fontId="25" fillId="0" borderId="0" xfId="0" applyFont="1"/>
    <xf numFmtId="0" fontId="3" fillId="0" borderId="24" xfId="0" applyFont="1" applyBorder="1" applyAlignment="1">
      <alignment horizontal="center"/>
    </xf>
    <xf numFmtId="0" fontId="11" fillId="0" borderId="29" xfId="0" applyFont="1" applyBorder="1"/>
    <xf numFmtId="3" fontId="11" fillId="0" borderId="25" xfId="0" applyNumberFormat="1" applyFont="1" applyBorder="1"/>
    <xf numFmtId="3" fontId="4" fillId="0" borderId="0" xfId="0" applyNumberFormat="1" applyFont="1"/>
    <xf numFmtId="4" fontId="4" fillId="0" borderId="0" xfId="0" applyNumberFormat="1" applyFont="1"/>
    <xf numFmtId="0" fontId="1" fillId="0" borderId="16" xfId="0" applyFont="1" applyBorder="1"/>
    <xf numFmtId="0" fontId="1" fillId="0" borderId="0" xfId="0" applyFont="1"/>
    <xf numFmtId="4" fontId="1" fillId="0" borderId="0" xfId="0" applyNumberFormat="1" applyFont="1"/>
    <xf numFmtId="3" fontId="1" fillId="0" borderId="0" xfId="0" applyNumberFormat="1" applyFont="1"/>
    <xf numFmtId="49" fontId="26" fillId="0" borderId="0" xfId="0" applyNumberFormat="1" applyFont="1" applyAlignment="1">
      <alignment horizontal="right" vertical="top"/>
    </xf>
    <xf numFmtId="168" fontId="29" fillId="0" borderId="0" xfId="0" applyNumberFormat="1" applyFont="1" applyAlignment="1">
      <alignment horizontal="left"/>
    </xf>
    <xf numFmtId="0" fontId="1" fillId="0" borderId="16" xfId="0" applyFont="1" applyBorder="1" applyAlignment="1" applyProtection="1">
      <alignment horizontal="left" indent="1"/>
      <protection locked="0"/>
    </xf>
    <xf numFmtId="9" fontId="11" fillId="0" borderId="27" xfId="0" applyNumberFormat="1" applyFont="1" applyBorder="1" applyProtection="1">
      <protection locked="0"/>
    </xf>
    <xf numFmtId="169" fontId="30" fillId="0" borderId="0" xfId="0" applyNumberFormat="1" applyFont="1" applyAlignment="1">
      <alignment horizontal="right"/>
    </xf>
    <xf numFmtId="169" fontId="29" fillId="0" borderId="0" xfId="0" applyNumberFormat="1" applyFont="1" applyAlignment="1">
      <alignment horizontal="right"/>
    </xf>
    <xf numFmtId="168" fontId="29" fillId="0" borderId="0" xfId="0" applyNumberFormat="1" applyFont="1" applyAlignment="1">
      <alignment horizontal="right"/>
    </xf>
    <xf numFmtId="10" fontId="4" fillId="0" borderId="0" xfId="2" applyNumberFormat="1" applyFont="1" applyBorder="1"/>
    <xf numFmtId="0" fontId="31" fillId="0" borderId="0" xfId="0" applyFont="1"/>
    <xf numFmtId="0" fontId="32" fillId="0" borderId="0" xfId="0" applyFont="1"/>
    <xf numFmtId="0" fontId="26" fillId="0" borderId="0" xfId="0" applyFont="1"/>
    <xf numFmtId="0" fontId="0" fillId="0" borderId="0" xfId="0" applyAlignment="1">
      <alignment horizontal="left"/>
    </xf>
    <xf numFmtId="0" fontId="3" fillId="9" borderId="16" xfId="0" applyFont="1" applyFill="1" applyBorder="1" applyAlignment="1">
      <alignment horizontal="center"/>
    </xf>
    <xf numFmtId="165" fontId="3" fillId="9" borderId="16" xfId="2" applyNumberFormat="1" applyFont="1" applyFill="1" applyBorder="1" applyAlignment="1">
      <alignment horizontal="center"/>
    </xf>
    <xf numFmtId="165" fontId="3" fillId="9" borderId="0" xfId="2" applyNumberFormat="1" applyFont="1" applyFill="1" applyBorder="1" applyAlignment="1">
      <alignment horizontal="center"/>
    </xf>
    <xf numFmtId="165" fontId="3" fillId="9" borderId="28" xfId="2" applyNumberFormat="1" applyFont="1" applyFill="1" applyBorder="1" applyAlignment="1">
      <alignment horizontal="center"/>
    </xf>
    <xf numFmtId="9" fontId="3" fillId="9" borderId="28" xfId="2" applyFont="1" applyFill="1" applyBorder="1" applyAlignment="1">
      <alignment horizontal="center"/>
    </xf>
    <xf numFmtId="0" fontId="3" fillId="9" borderId="0" xfId="0" applyFont="1" applyFill="1"/>
    <xf numFmtId="3" fontId="11" fillId="9" borderId="26" xfId="1" applyNumberFormat="1" applyFont="1" applyFill="1" applyBorder="1"/>
    <xf numFmtId="0" fontId="4" fillId="9" borderId="17" xfId="0" applyFont="1" applyFill="1" applyBorder="1"/>
    <xf numFmtId="0" fontId="3" fillId="9" borderId="18" xfId="0" applyFont="1" applyFill="1" applyBorder="1"/>
    <xf numFmtId="3" fontId="11" fillId="9" borderId="24" xfId="0" applyNumberFormat="1" applyFont="1" applyFill="1" applyBorder="1" applyAlignment="1">
      <alignment horizontal="center"/>
    </xf>
    <xf numFmtId="3" fontId="11" fillId="9" borderId="21" xfId="1" applyNumberFormat="1" applyFont="1" applyFill="1" applyBorder="1"/>
    <xf numFmtId="0" fontId="1" fillId="9" borderId="18" xfId="0" applyFont="1" applyFill="1" applyBorder="1"/>
    <xf numFmtId="3" fontId="33" fillId="0" borderId="0" xfId="0" applyNumberFormat="1" applyFont="1"/>
    <xf numFmtId="0" fontId="22" fillId="0" borderId="0" xfId="0" applyFont="1" applyAlignment="1">
      <alignment horizontal="right"/>
    </xf>
    <xf numFmtId="10" fontId="4" fillId="0" borderId="0" xfId="2" applyNumberFormat="1" applyFont="1"/>
    <xf numFmtId="0" fontId="4" fillId="0" borderId="0" xfId="0" applyFont="1" applyAlignment="1">
      <alignment horizontal="center"/>
    </xf>
    <xf numFmtId="3" fontId="11" fillId="0" borderId="0" xfId="0" applyNumberFormat="1" applyFont="1" applyAlignment="1">
      <alignment horizontal="right" vertical="top"/>
    </xf>
    <xf numFmtId="49" fontId="1" fillId="0" borderId="0" xfId="0" applyNumberFormat="1" applyFont="1" applyAlignment="1">
      <alignment horizontal="left" vertical="top"/>
    </xf>
    <xf numFmtId="3" fontId="34" fillId="0" borderId="0" xfId="0" applyNumberFormat="1" applyFont="1" applyAlignment="1">
      <alignment horizontal="right"/>
    </xf>
    <xf numFmtId="3" fontId="34" fillId="0" borderId="0" xfId="0" applyNumberFormat="1" applyFont="1" applyAlignment="1">
      <alignment horizontal="right" vertical="top"/>
    </xf>
    <xf numFmtId="3" fontId="34" fillId="0" borderId="0" xfId="0" applyNumberFormat="1" applyFont="1"/>
    <xf numFmtId="168" fontId="35" fillId="0" borderId="0" xfId="0" applyNumberFormat="1" applyFont="1" applyAlignment="1">
      <alignment horizontal="right"/>
    </xf>
    <xf numFmtId="49" fontId="3" fillId="0" borderId="0" xfId="0" applyNumberFormat="1" applyFont="1" applyAlignment="1">
      <alignment horizontal="center" vertical="top"/>
    </xf>
    <xf numFmtId="168" fontId="3" fillId="0" borderId="0" xfId="0" applyNumberFormat="1" applyFont="1" applyAlignment="1">
      <alignment horizontal="right"/>
    </xf>
    <xf numFmtId="3" fontId="3" fillId="0" borderId="0" xfId="0" applyNumberFormat="1" applyFont="1" applyAlignment="1">
      <alignment horizontal="right" vertical="top"/>
    </xf>
    <xf numFmtId="0" fontId="4" fillId="0" borderId="17" xfId="0" applyFont="1" applyBorder="1" applyAlignment="1">
      <alignment horizontal="left"/>
    </xf>
    <xf numFmtId="0" fontId="1" fillId="0" borderId="22" xfId="0" applyFont="1" applyBorder="1"/>
    <xf numFmtId="0" fontId="1" fillId="0" borderId="18" xfId="0" applyFont="1" applyBorder="1"/>
    <xf numFmtId="0" fontId="1" fillId="0" borderId="15" xfId="0" applyFont="1" applyBorder="1"/>
    <xf numFmtId="0" fontId="4" fillId="10" borderId="17" xfId="0" applyFont="1" applyFill="1" applyBorder="1"/>
    <xf numFmtId="0" fontId="4" fillId="10" borderId="21" xfId="0" applyFont="1" applyFill="1" applyBorder="1"/>
    <xf numFmtId="167" fontId="4" fillId="10" borderId="18" xfId="0" applyNumberFormat="1" applyFont="1" applyFill="1" applyBorder="1"/>
    <xf numFmtId="170" fontId="4" fillId="10" borderId="18" xfId="0" applyNumberFormat="1" applyFont="1" applyFill="1" applyBorder="1"/>
    <xf numFmtId="0" fontId="4" fillId="10" borderId="18" xfId="0" applyFont="1" applyFill="1" applyBorder="1"/>
    <xf numFmtId="164" fontId="4" fillId="10" borderId="21" xfId="0" applyNumberFormat="1" applyFont="1" applyFill="1" applyBorder="1" applyAlignment="1">
      <alignment horizontal="right"/>
    </xf>
    <xf numFmtId="0" fontId="6" fillId="7" borderId="0" xfId="0" applyFont="1" applyFill="1" applyProtection="1">
      <protection hidden="1"/>
    </xf>
    <xf numFmtId="0" fontId="39" fillId="0" borderId="0" xfId="0" applyFont="1"/>
    <xf numFmtId="0" fontId="40" fillId="0" borderId="0" xfId="0" applyFont="1"/>
    <xf numFmtId="0" fontId="41" fillId="0" borderId="0" xfId="0" applyFont="1" applyAlignment="1">
      <alignment horizontal="left"/>
    </xf>
    <xf numFmtId="0" fontId="42" fillId="0" borderId="0" xfId="0" applyFont="1"/>
    <xf numFmtId="0" fontId="41" fillId="0" borderId="0" xfId="0" applyFont="1" applyAlignment="1">
      <alignment horizontal="right"/>
    </xf>
    <xf numFmtId="0" fontId="43" fillId="0" borderId="0" xfId="0" applyFont="1"/>
    <xf numFmtId="0" fontId="44" fillId="0" borderId="0" xfId="0" applyFont="1"/>
    <xf numFmtId="0" fontId="44" fillId="0" borderId="0" xfId="0" applyFont="1" applyAlignment="1">
      <alignment horizontal="left"/>
    </xf>
    <xf numFmtId="0" fontId="40" fillId="0" borderId="17" xfId="0" applyFont="1" applyBorder="1"/>
    <xf numFmtId="0" fontId="40" fillId="0" borderId="21" xfId="0" applyFont="1" applyBorder="1"/>
    <xf numFmtId="0" fontId="40" fillId="0" borderId="18" xfId="0" applyFont="1" applyBorder="1"/>
    <xf numFmtId="0" fontId="1" fillId="0" borderId="17" xfId="0" applyFont="1" applyBorder="1"/>
    <xf numFmtId="0" fontId="40" fillId="0" borderId="22" xfId="0" applyFont="1" applyBorder="1"/>
    <xf numFmtId="167" fontId="40" fillId="0" borderId="22" xfId="1" applyNumberFormat="1" applyFont="1" applyBorder="1"/>
    <xf numFmtId="170" fontId="40" fillId="0" borderId="15" xfId="0" applyNumberFormat="1" applyFont="1" applyBorder="1"/>
    <xf numFmtId="0" fontId="40" fillId="0" borderId="15" xfId="0" applyFont="1" applyBorder="1"/>
    <xf numFmtId="164" fontId="40" fillId="0" borderId="23" xfId="1" applyFont="1" applyBorder="1"/>
    <xf numFmtId="0" fontId="40" fillId="0" borderId="16" xfId="0" applyFont="1" applyBorder="1"/>
    <xf numFmtId="167" fontId="40" fillId="0" borderId="16" xfId="1" applyNumberFormat="1" applyFont="1" applyBorder="1"/>
    <xf numFmtId="170" fontId="40" fillId="0" borderId="0" xfId="0" applyNumberFormat="1" applyFont="1"/>
    <xf numFmtId="164" fontId="40" fillId="0" borderId="28" xfId="1" applyFont="1" applyBorder="1" applyAlignment="1">
      <alignment horizontal="right"/>
    </xf>
    <xf numFmtId="167" fontId="40" fillId="0" borderId="20" xfId="1" applyNumberFormat="1" applyFont="1" applyBorder="1"/>
    <xf numFmtId="170" fontId="40" fillId="0" borderId="19" xfId="0" applyNumberFormat="1" applyFont="1" applyBorder="1"/>
    <xf numFmtId="0" fontId="40" fillId="0" borderId="19" xfId="0" applyFont="1" applyBorder="1"/>
    <xf numFmtId="164" fontId="40" fillId="0" borderId="26" xfId="1" applyFont="1" applyBorder="1" applyAlignment="1">
      <alignment horizontal="right"/>
    </xf>
    <xf numFmtId="167" fontId="40" fillId="0" borderId="20" xfId="0" applyNumberFormat="1" applyFont="1" applyBorder="1"/>
    <xf numFmtId="0" fontId="40" fillId="0" borderId="26" xfId="0" applyFont="1" applyBorder="1"/>
    <xf numFmtId="0" fontId="1" fillId="0" borderId="0" xfId="0" applyFont="1" applyAlignment="1">
      <alignment horizontal="left"/>
    </xf>
    <xf numFmtId="0" fontId="4" fillId="0" borderId="0" xfId="0" applyFont="1" applyAlignment="1">
      <alignment horizontal="right"/>
    </xf>
    <xf numFmtId="167" fontId="4" fillId="0" borderId="0" xfId="1" applyNumberFormat="1" applyFont="1" applyBorder="1"/>
    <xf numFmtId="3" fontId="4" fillId="0" borderId="0" xfId="1" applyNumberFormat="1" applyFont="1" applyBorder="1"/>
    <xf numFmtId="0" fontId="1" fillId="0" borderId="23" xfId="0" applyFont="1" applyBorder="1"/>
    <xf numFmtId="0" fontId="1" fillId="0" borderId="28" xfId="0" applyFont="1" applyBorder="1"/>
    <xf numFmtId="167" fontId="1" fillId="0" borderId="0" xfId="0" applyNumberFormat="1" applyFont="1" applyAlignment="1">
      <alignment horizontal="right"/>
    </xf>
    <xf numFmtId="170" fontId="1" fillId="0" borderId="0" xfId="0" applyNumberFormat="1" applyFont="1"/>
    <xf numFmtId="165" fontId="1" fillId="0" borderId="28" xfId="2" applyNumberFormat="1" applyFont="1" applyBorder="1" applyAlignment="1">
      <alignment horizontal="right"/>
    </xf>
    <xf numFmtId="0" fontId="1" fillId="0" borderId="20" xfId="0" applyFont="1" applyBorder="1"/>
    <xf numFmtId="0" fontId="1" fillId="0" borderId="26" xfId="0" applyFont="1" applyBorder="1"/>
    <xf numFmtId="167" fontId="1" fillId="0" borderId="19" xfId="0" applyNumberFormat="1" applyFont="1" applyBorder="1" applyAlignment="1">
      <alignment horizontal="right"/>
    </xf>
    <xf numFmtId="170" fontId="1" fillId="0" borderId="19" xfId="0" applyNumberFormat="1" applyFont="1" applyBorder="1"/>
    <xf numFmtId="0" fontId="1" fillId="0" borderId="19" xfId="0" applyFont="1" applyBorder="1"/>
    <xf numFmtId="165" fontId="1" fillId="0" borderId="26" xfId="2" applyNumberFormat="1" applyFont="1" applyBorder="1" applyAlignment="1">
      <alignment horizontal="right"/>
    </xf>
    <xf numFmtId="167" fontId="1" fillId="0" borderId="19" xfId="0" applyNumberFormat="1" applyFont="1" applyBorder="1"/>
    <xf numFmtId="9" fontId="1" fillId="0" borderId="26" xfId="2" applyFont="1" applyBorder="1"/>
    <xf numFmtId="0" fontId="45" fillId="0" borderId="0" xfId="0" applyFont="1"/>
    <xf numFmtId="0" fontId="21" fillId="0" borderId="0" xfId="0" applyFont="1" applyAlignment="1">
      <alignment horizontal="left" vertical="top"/>
    </xf>
    <xf numFmtId="0" fontId="15" fillId="0" borderId="0" xfId="0" applyFont="1" applyAlignment="1">
      <alignment horizontal="left" vertical="top"/>
    </xf>
    <xf numFmtId="0" fontId="4" fillId="0" borderId="18" xfId="0" applyFont="1" applyBorder="1" applyAlignment="1">
      <alignment horizontal="center"/>
    </xf>
    <xf numFmtId="3" fontId="1" fillId="13" borderId="0" xfId="0" applyNumberFormat="1" applyFont="1" applyFill="1"/>
    <xf numFmtId="3" fontId="1" fillId="13" borderId="0" xfId="0" quotePrefix="1" applyNumberFormat="1" applyFont="1" applyFill="1"/>
    <xf numFmtId="0" fontId="45" fillId="0" borderId="0" xfId="0" applyFont="1" applyAlignment="1">
      <alignment horizontal="right" wrapText="1"/>
    </xf>
    <xf numFmtId="0" fontId="1" fillId="13" borderId="0" xfId="1" applyNumberFormat="1" applyFont="1" applyFill="1" applyBorder="1" applyAlignment="1">
      <alignment horizontal="left" vertical="center"/>
    </xf>
    <xf numFmtId="0" fontId="1" fillId="13" borderId="0" xfId="1" applyNumberFormat="1" applyFont="1" applyFill="1" applyBorder="1" applyAlignment="1">
      <alignment horizontal="left"/>
    </xf>
    <xf numFmtId="3" fontId="1" fillId="13" borderId="0" xfId="0" applyNumberFormat="1" applyFont="1" applyFill="1" applyAlignment="1">
      <alignment horizontal="left"/>
    </xf>
    <xf numFmtId="3" fontId="1" fillId="13" borderId="0" xfId="0" quotePrefix="1" applyNumberFormat="1" applyFont="1" applyFill="1" applyAlignment="1">
      <alignment horizontal="left"/>
    </xf>
    <xf numFmtId="0" fontId="15" fillId="0" borderId="17" xfId="0" applyFont="1" applyBorder="1" applyAlignment="1">
      <alignment horizontal="left" vertical="center"/>
    </xf>
    <xf numFmtId="0" fontId="15" fillId="0" borderId="18" xfId="0" applyFont="1" applyBorder="1" applyAlignment="1">
      <alignment horizontal="right" vertical="center"/>
    </xf>
    <xf numFmtId="0" fontId="15" fillId="0" borderId="18" xfId="0" applyFont="1" applyBorder="1" applyAlignment="1">
      <alignment horizontal="center" vertical="center"/>
    </xf>
    <xf numFmtId="0" fontId="46" fillId="0" borderId="18" xfId="0" applyFont="1" applyBorder="1" applyAlignment="1">
      <alignment wrapText="1"/>
    </xf>
    <xf numFmtId="0" fontId="1" fillId="9" borderId="16" xfId="0" applyFont="1" applyFill="1" applyBorder="1"/>
    <xf numFmtId="3" fontId="1" fillId="9" borderId="0" xfId="0" applyNumberFormat="1" applyFont="1" applyFill="1"/>
    <xf numFmtId="3" fontId="1" fillId="0" borderId="15" xfId="0" applyNumberFormat="1" applyFont="1" applyBorder="1"/>
    <xf numFmtId="0" fontId="1" fillId="0" borderId="0" xfId="0" applyFont="1" applyAlignment="1">
      <alignment wrapText="1"/>
    </xf>
    <xf numFmtId="3" fontId="1" fillId="13" borderId="0" xfId="0" applyNumberFormat="1" applyFont="1" applyFill="1" applyAlignment="1">
      <alignment wrapText="1"/>
    </xf>
    <xf numFmtId="0" fontId="32" fillId="0" borderId="16" xfId="0" applyFont="1" applyBorder="1"/>
    <xf numFmtId="3" fontId="3" fillId="9" borderId="18" xfId="0" applyNumberFormat="1" applyFont="1" applyFill="1" applyBorder="1"/>
    <xf numFmtId="3" fontId="1" fillId="14" borderId="0" xfId="0" applyNumberFormat="1" applyFont="1" applyFill="1"/>
    <xf numFmtId="0" fontId="1" fillId="9" borderId="17" xfId="0" applyFont="1" applyFill="1" applyBorder="1"/>
    <xf numFmtId="0" fontId="32" fillId="0" borderId="0" xfId="0" applyFont="1" applyAlignment="1">
      <alignment horizontal="left"/>
    </xf>
    <xf numFmtId="10" fontId="4" fillId="10" borderId="0" xfId="2" applyNumberFormat="1" applyFont="1" applyFill="1" applyBorder="1"/>
    <xf numFmtId="0" fontId="3" fillId="9" borderId="17" xfId="0" applyFont="1" applyFill="1" applyBorder="1"/>
    <xf numFmtId="3" fontId="15" fillId="9" borderId="18" xfId="0" applyNumberFormat="1" applyFont="1" applyFill="1" applyBorder="1"/>
    <xf numFmtId="4" fontId="1" fillId="13" borderId="0" xfId="0" applyNumberFormat="1" applyFont="1" applyFill="1"/>
    <xf numFmtId="0" fontId="4" fillId="13" borderId="0" xfId="0" applyFont="1" applyFill="1"/>
    <xf numFmtId="0" fontId="15" fillId="0" borderId="16" xfId="0" applyFont="1" applyBorder="1"/>
    <xf numFmtId="3" fontId="15" fillId="0" borderId="0" xfId="0" applyNumberFormat="1" applyFont="1"/>
    <xf numFmtId="4" fontId="15" fillId="9" borderId="18" xfId="0" applyNumberFormat="1" applyFont="1" applyFill="1" applyBorder="1"/>
    <xf numFmtId="4" fontId="4" fillId="10" borderId="0" xfId="0" applyNumberFormat="1" applyFont="1" applyFill="1"/>
    <xf numFmtId="3" fontId="1" fillId="0" borderId="19" xfId="0" applyNumberFormat="1" applyFont="1" applyBorder="1"/>
    <xf numFmtId="1" fontId="4" fillId="0" borderId="0" xfId="0" applyNumberFormat="1" applyFont="1"/>
    <xf numFmtId="3" fontId="1" fillId="13" borderId="18" xfId="0" applyNumberFormat="1" applyFont="1" applyFill="1" applyBorder="1"/>
    <xf numFmtId="3" fontId="1" fillId="13" borderId="21" xfId="0" applyNumberFormat="1" applyFont="1" applyFill="1" applyBorder="1"/>
    <xf numFmtId="0" fontId="16" fillId="0" borderId="0" xfId="0" applyFont="1"/>
    <xf numFmtId="0" fontId="2" fillId="0" borderId="0" xfId="0" applyFont="1"/>
    <xf numFmtId="0" fontId="2" fillId="0" borderId="0" xfId="0" applyFont="1" applyAlignment="1">
      <alignment horizontal="left"/>
    </xf>
    <xf numFmtId="0" fontId="16" fillId="0" borderId="22" xfId="0" applyFont="1" applyBorder="1" applyAlignment="1">
      <alignment horizontal="center"/>
    </xf>
    <xf numFmtId="0" fontId="16" fillId="0" borderId="15" xfId="0" applyFont="1" applyBorder="1" applyAlignment="1">
      <alignment horizontal="center"/>
    </xf>
    <xf numFmtId="0" fontId="16" fillId="0" borderId="23"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6" fillId="0" borderId="21" xfId="0" applyFont="1" applyBorder="1" applyAlignment="1">
      <alignment horizontal="center"/>
    </xf>
    <xf numFmtId="0" fontId="16" fillId="0" borderId="0" xfId="0" applyFont="1" applyAlignment="1">
      <alignment horizontal="center"/>
    </xf>
    <xf numFmtId="0" fontId="16" fillId="7" borderId="17" xfId="0" applyFont="1" applyFill="1" applyBorder="1" applyAlignment="1">
      <alignment horizontal="center"/>
    </xf>
    <xf numFmtId="4" fontId="16" fillId="11" borderId="18" xfId="2" applyNumberFormat="1" applyFont="1" applyFill="1" applyBorder="1" applyAlignment="1">
      <alignment horizontal="center"/>
    </xf>
    <xf numFmtId="4" fontId="16" fillId="7" borderId="24" xfId="2" applyNumberFormat="1" applyFont="1" applyFill="1" applyBorder="1" applyAlignment="1">
      <alignment horizontal="center"/>
    </xf>
    <xf numFmtId="0" fontId="16" fillId="7" borderId="20" xfId="0" applyFont="1" applyFill="1" applyBorder="1" applyAlignment="1">
      <alignment horizontal="center"/>
    </xf>
    <xf numFmtId="165" fontId="16" fillId="7" borderId="20" xfId="2" applyNumberFormat="1" applyFont="1" applyFill="1" applyBorder="1" applyAlignment="1">
      <alignment horizontal="center"/>
    </xf>
    <xf numFmtId="165" fontId="16" fillId="7" borderId="19" xfId="2" applyNumberFormat="1" applyFont="1" applyFill="1" applyBorder="1" applyAlignment="1">
      <alignment horizontal="center"/>
    </xf>
    <xf numFmtId="165" fontId="16" fillId="7" borderId="25" xfId="2" applyNumberFormat="1" applyFont="1" applyFill="1" applyBorder="1" applyAlignment="1">
      <alignment horizontal="center"/>
    </xf>
    <xf numFmtId="4" fontId="48" fillId="11" borderId="17" xfId="2" applyNumberFormat="1" applyFont="1" applyFill="1" applyBorder="1" applyAlignment="1">
      <alignment horizontal="center"/>
    </xf>
    <xf numFmtId="0" fontId="16" fillId="0" borderId="24" xfId="0" applyFont="1" applyBorder="1" applyAlignment="1">
      <alignment horizontal="center"/>
    </xf>
    <xf numFmtId="4" fontId="1" fillId="0" borderId="29" xfId="0" applyNumberFormat="1" applyFont="1" applyBorder="1" applyAlignment="1">
      <alignment horizontal="center"/>
    </xf>
    <xf numFmtId="4" fontId="1" fillId="0" borderId="15" xfId="0" applyNumberFormat="1" applyFont="1" applyBorder="1" applyAlignment="1">
      <alignment horizontal="center"/>
    </xf>
    <xf numFmtId="4" fontId="1" fillId="0" borderId="23" xfId="0" applyNumberFormat="1" applyFont="1" applyBorder="1" applyAlignment="1">
      <alignment horizontal="center"/>
    </xf>
    <xf numFmtId="4" fontId="1" fillId="0" borderId="27" xfId="0" applyNumberFormat="1" applyFont="1" applyBorder="1" applyAlignment="1">
      <alignment horizontal="center"/>
    </xf>
    <xf numFmtId="4" fontId="1" fillId="0" borderId="0" xfId="0" applyNumberFormat="1" applyFont="1" applyAlignment="1">
      <alignment horizontal="center"/>
    </xf>
    <xf numFmtId="4" fontId="1" fillId="0" borderId="28" xfId="0" applyNumberFormat="1" applyFont="1" applyBorder="1" applyAlignment="1">
      <alignment horizontal="center"/>
    </xf>
    <xf numFmtId="2" fontId="1" fillId="0" borderId="25" xfId="0" applyNumberFormat="1" applyFont="1" applyBorder="1" applyAlignment="1">
      <alignment horizontal="center"/>
    </xf>
    <xf numFmtId="2" fontId="1" fillId="0" borderId="19" xfId="0" applyNumberFormat="1" applyFont="1" applyBorder="1" applyAlignment="1">
      <alignment horizontal="center"/>
    </xf>
    <xf numFmtId="2" fontId="1" fillId="0" borderId="26" xfId="0" applyNumberFormat="1" applyFont="1" applyBorder="1" applyAlignment="1">
      <alignment horizontal="center"/>
    </xf>
    <xf numFmtId="2" fontId="1" fillId="0" borderId="0" xfId="0" applyNumberFormat="1" applyFont="1"/>
    <xf numFmtId="3" fontId="2" fillId="13" borderId="17" xfId="0" applyNumberFormat="1" applyFont="1" applyFill="1" applyBorder="1"/>
    <xf numFmtId="4" fontId="2" fillId="13" borderId="18" xfId="0" applyNumberFormat="1" applyFont="1" applyFill="1" applyBorder="1" applyAlignment="1">
      <alignment horizontal="center"/>
    </xf>
    <xf numFmtId="4" fontId="2" fillId="13" borderId="21" xfId="0" applyNumberFormat="1" applyFont="1" applyFill="1" applyBorder="1" applyAlignment="1">
      <alignment horizontal="center"/>
    </xf>
    <xf numFmtId="4" fontId="2" fillId="13" borderId="17" xfId="0" applyNumberFormat="1" applyFont="1" applyFill="1" applyBorder="1" applyAlignment="1">
      <alignment horizontal="center"/>
    </xf>
    <xf numFmtId="0" fontId="1" fillId="2" borderId="0" xfId="0" applyFont="1" applyFill="1"/>
    <xf numFmtId="4" fontId="1" fillId="13" borderId="5" xfId="0" applyNumberFormat="1" applyFont="1" applyFill="1" applyBorder="1" applyAlignment="1">
      <alignment horizontal="center"/>
    </xf>
    <xf numFmtId="3" fontId="1" fillId="13" borderId="12" xfId="0" applyNumberFormat="1" applyFont="1" applyFill="1" applyBorder="1"/>
    <xf numFmtId="3" fontId="1" fillId="13" borderId="6" xfId="0" applyNumberFormat="1" applyFont="1" applyFill="1" applyBorder="1"/>
    <xf numFmtId="3" fontId="1" fillId="13" borderId="9" xfId="0" applyNumberFormat="1" applyFont="1" applyFill="1" applyBorder="1"/>
    <xf numFmtId="0" fontId="1" fillId="13" borderId="6" xfId="0" applyFont="1" applyFill="1" applyBorder="1"/>
    <xf numFmtId="0" fontId="1" fillId="13" borderId="9" xfId="0" applyFont="1" applyFill="1" applyBorder="1"/>
    <xf numFmtId="0" fontId="1" fillId="13" borderId="12" xfId="0" applyFont="1" applyFill="1" applyBorder="1"/>
    <xf numFmtId="10" fontId="1" fillId="13" borderId="5" xfId="2" applyNumberFormat="1" applyFont="1" applyFill="1" applyBorder="1" applyAlignment="1">
      <alignment horizontal="center" wrapText="1"/>
    </xf>
    <xf numFmtId="3" fontId="0" fillId="0" borderId="0" xfId="0" applyNumberFormat="1"/>
    <xf numFmtId="4" fontId="3" fillId="12" borderId="17" xfId="2" applyNumberFormat="1" applyFont="1" applyFill="1" applyBorder="1" applyAlignment="1">
      <alignment horizontal="center"/>
    </xf>
    <xf numFmtId="4" fontId="3" fillId="12" borderId="18" xfId="2" applyNumberFormat="1" applyFont="1" applyFill="1" applyBorder="1" applyAlignment="1">
      <alignment horizontal="center"/>
    </xf>
    <xf numFmtId="4" fontId="3" fillId="12" borderId="21" xfId="2" applyNumberFormat="1" applyFont="1" applyFill="1" applyBorder="1" applyAlignment="1">
      <alignment horizontal="center"/>
    </xf>
    <xf numFmtId="3" fontId="11" fillId="9" borderId="26" xfId="0" applyNumberFormat="1" applyFont="1" applyFill="1" applyBorder="1" applyAlignment="1">
      <alignment horizontal="center"/>
    </xf>
    <xf numFmtId="3" fontId="11" fillId="9" borderId="25" xfId="0" applyNumberFormat="1" applyFont="1" applyFill="1" applyBorder="1" applyAlignment="1">
      <alignment horizontal="center"/>
    </xf>
    <xf numFmtId="3" fontId="1" fillId="9" borderId="19" xfId="0" applyNumberFormat="1" applyFont="1" applyFill="1" applyBorder="1"/>
    <xf numFmtId="3" fontId="11" fillId="0" borderId="26" xfId="1" applyNumberFormat="1" applyFont="1" applyBorder="1"/>
    <xf numFmtId="3" fontId="1" fillId="9" borderId="26" xfId="0" applyNumberFormat="1" applyFont="1" applyFill="1" applyBorder="1"/>
    <xf numFmtId="3" fontId="11" fillId="9" borderId="25" xfId="0" applyNumberFormat="1" applyFont="1" applyFill="1" applyBorder="1"/>
    <xf numFmtId="0" fontId="16" fillId="15" borderId="17" xfId="0" applyFont="1" applyFill="1" applyBorder="1"/>
    <xf numFmtId="0" fontId="2" fillId="15" borderId="18" xfId="0" applyFont="1" applyFill="1" applyBorder="1"/>
    <xf numFmtId="0" fontId="2" fillId="15" borderId="21" xfId="0" applyFont="1" applyFill="1" applyBorder="1"/>
    <xf numFmtId="3" fontId="1" fillId="9" borderId="18" xfId="0" applyNumberFormat="1" applyFont="1" applyFill="1" applyBorder="1"/>
    <xf numFmtId="3" fontId="11" fillId="9" borderId="18" xfId="0" applyNumberFormat="1" applyFont="1" applyFill="1" applyBorder="1" applyAlignment="1">
      <alignment horizontal="center"/>
    </xf>
    <xf numFmtId="0" fontId="0" fillId="0" borderId="29" xfId="0" applyBorder="1"/>
    <xf numFmtId="0" fontId="0" fillId="0" borderId="27" xfId="0" applyBorder="1"/>
    <xf numFmtId="3" fontId="11" fillId="9" borderId="21" xfId="0" applyNumberFormat="1" applyFont="1" applyFill="1" applyBorder="1"/>
    <xf numFmtId="4" fontId="4" fillId="0" borderId="28" xfId="1" applyNumberFormat="1" applyFont="1" applyBorder="1"/>
    <xf numFmtId="4" fontId="4" fillId="0" borderId="28" xfId="0" applyNumberFormat="1" applyFont="1" applyBorder="1"/>
    <xf numFmtId="3" fontId="4" fillId="0" borderId="28" xfId="1" applyNumberFormat="1" applyFont="1" applyBorder="1"/>
    <xf numFmtId="0" fontId="0" fillId="0" borderId="25" xfId="0" applyBorder="1"/>
    <xf numFmtId="0" fontId="47" fillId="0" borderId="0" xfId="0" applyFont="1"/>
    <xf numFmtId="3" fontId="47" fillId="0" borderId="0" xfId="0" applyNumberFormat="1" applyFont="1"/>
    <xf numFmtId="4" fontId="15" fillId="9" borderId="21" xfId="0" applyNumberFormat="1" applyFont="1" applyFill="1" applyBorder="1"/>
    <xf numFmtId="3" fontId="11" fillId="0" borderId="26" xfId="1" applyNumberFormat="1" applyFont="1" applyFill="1" applyBorder="1"/>
    <xf numFmtId="0" fontId="1" fillId="9" borderId="20" xfId="0" applyFont="1" applyFill="1" applyBorder="1"/>
    <xf numFmtId="0" fontId="3" fillId="9" borderId="19" xfId="0" applyFont="1" applyFill="1" applyBorder="1"/>
    <xf numFmtId="3" fontId="1" fillId="9" borderId="17" xfId="0" applyNumberFormat="1" applyFont="1" applyFill="1" applyBorder="1"/>
    <xf numFmtId="3" fontId="1" fillId="9" borderId="21" xfId="0" applyNumberFormat="1" applyFont="1" applyFill="1" applyBorder="1"/>
    <xf numFmtId="0" fontId="3" fillId="9" borderId="16" xfId="0" applyFont="1" applyFill="1" applyBorder="1" applyAlignment="1">
      <alignment horizontal="center" vertical="center"/>
    </xf>
    <xf numFmtId="165" fontId="3" fillId="9" borderId="16" xfId="2" applyNumberFormat="1" applyFont="1" applyFill="1" applyBorder="1" applyAlignment="1">
      <alignment horizontal="center" vertical="center"/>
    </xf>
    <xf numFmtId="165" fontId="3" fillId="9" borderId="0" xfId="2" applyNumberFormat="1" applyFont="1" applyFill="1" applyBorder="1" applyAlignment="1">
      <alignment horizontal="center" vertical="center"/>
    </xf>
    <xf numFmtId="165" fontId="3" fillId="9" borderId="28" xfId="2" applyNumberFormat="1" applyFont="1" applyFill="1" applyBorder="1" applyAlignment="1">
      <alignment horizontal="center" vertical="center"/>
    </xf>
    <xf numFmtId="9" fontId="3" fillId="9" borderId="28" xfId="2" applyFont="1" applyFill="1" applyBorder="1" applyAlignment="1">
      <alignment horizontal="center" vertical="center"/>
    </xf>
    <xf numFmtId="0" fontId="3" fillId="8" borderId="16" xfId="0" applyFont="1" applyFill="1" applyBorder="1" applyAlignment="1">
      <alignment horizontal="center"/>
    </xf>
    <xf numFmtId="165" fontId="3" fillId="8" borderId="16" xfId="2" applyNumberFormat="1" applyFont="1" applyFill="1" applyBorder="1" applyAlignment="1">
      <alignment horizontal="center"/>
    </xf>
    <xf numFmtId="165" fontId="3" fillId="8" borderId="0" xfId="2" applyNumberFormat="1" applyFont="1" applyFill="1" applyBorder="1" applyAlignment="1">
      <alignment horizontal="center"/>
    </xf>
    <xf numFmtId="165" fontId="3" fillId="8" borderId="28" xfId="2" applyNumberFormat="1" applyFont="1" applyFill="1" applyBorder="1" applyAlignment="1">
      <alignment horizontal="center"/>
    </xf>
    <xf numFmtId="9" fontId="3" fillId="8" borderId="28" xfId="2" applyFont="1" applyFill="1" applyBorder="1" applyAlignment="1">
      <alignment horizontal="center"/>
    </xf>
    <xf numFmtId="4" fontId="11" fillId="12" borderId="0" xfId="1" applyNumberFormat="1" applyFont="1" applyFill="1" applyBorder="1"/>
    <xf numFmtId="164" fontId="4" fillId="0" borderId="26" xfId="0" applyNumberFormat="1" applyFont="1" applyBorder="1"/>
    <xf numFmtId="3" fontId="32" fillId="0" borderId="0" xfId="1" applyNumberFormat="1" applyFont="1" applyBorder="1"/>
    <xf numFmtId="3" fontId="31" fillId="0" borderId="0" xfId="0" applyNumberFormat="1" applyFont="1"/>
    <xf numFmtId="3" fontId="2" fillId="0" borderId="0" xfId="0" applyNumberFormat="1" applyFont="1"/>
    <xf numFmtId="0" fontId="3" fillId="0" borderId="29" xfId="0" applyFont="1" applyBorder="1" applyAlignment="1">
      <alignment horizontal="center"/>
    </xf>
    <xf numFmtId="0" fontId="31" fillId="0" borderId="0" xfId="0" applyFont="1" applyAlignment="1">
      <alignment horizontal="left"/>
    </xf>
    <xf numFmtId="3" fontId="1" fillId="0" borderId="0" xfId="0" quotePrefix="1" applyNumberFormat="1" applyFont="1"/>
    <xf numFmtId="0" fontId="1" fillId="0" borderId="0" xfId="0" quotePrefix="1" applyFont="1" applyAlignment="1">
      <alignment horizontal="left"/>
    </xf>
    <xf numFmtId="0" fontId="2" fillId="9" borderId="29" xfId="0" applyFont="1" applyFill="1" applyBorder="1" applyAlignment="1">
      <alignment horizontal="left"/>
    </xf>
    <xf numFmtId="0" fontId="2" fillId="9" borderId="27" xfId="0" applyFont="1" applyFill="1" applyBorder="1" applyAlignment="1">
      <alignment horizontal="left"/>
    </xf>
    <xf numFmtId="0" fontId="2" fillId="9" borderId="27" xfId="0" applyFont="1" applyFill="1" applyBorder="1" applyAlignment="1">
      <alignment horizontal="left" vertical="center"/>
    </xf>
    <xf numFmtId="164" fontId="3" fillId="0" borderId="28" xfId="0" applyNumberFormat="1" applyFont="1" applyBorder="1" applyAlignment="1">
      <alignment horizontal="right"/>
    </xf>
    <xf numFmtId="164" fontId="3" fillId="0" borderId="26" xfId="0" applyNumberFormat="1" applyFont="1" applyBorder="1" applyAlignment="1">
      <alignment horizontal="right"/>
    </xf>
    <xf numFmtId="167" fontId="1" fillId="0" borderId="0" xfId="1" applyNumberFormat="1" applyFont="1"/>
    <xf numFmtId="167" fontId="10" fillId="0" borderId="0" xfId="1" applyNumberFormat="1" applyFont="1"/>
    <xf numFmtId="167" fontId="26" fillId="0" borderId="24" xfId="1" applyNumberFormat="1" applyFont="1" applyBorder="1" applyAlignment="1">
      <alignment horizontal="right" vertical="top"/>
    </xf>
    <xf numFmtId="0" fontId="0" fillId="0" borderId="20" xfId="0" applyBorder="1"/>
    <xf numFmtId="3" fontId="1" fillId="9" borderId="20" xfId="0" applyNumberFormat="1" applyFont="1" applyFill="1" applyBorder="1"/>
    <xf numFmtId="3" fontId="3" fillId="9" borderId="17" xfId="0" applyNumberFormat="1" applyFont="1" applyFill="1" applyBorder="1"/>
    <xf numFmtId="3" fontId="3" fillId="9" borderId="21" xfId="0" applyNumberFormat="1" applyFont="1" applyFill="1" applyBorder="1"/>
    <xf numFmtId="3" fontId="15" fillId="9" borderId="17" xfId="0" applyNumberFormat="1" applyFont="1" applyFill="1" applyBorder="1"/>
    <xf numFmtId="3" fontId="15" fillId="9" borderId="21" xfId="0" applyNumberFormat="1" applyFont="1" applyFill="1" applyBorder="1"/>
    <xf numFmtId="4" fontId="11" fillId="12" borderId="16" xfId="1" applyNumberFormat="1" applyFont="1" applyFill="1" applyBorder="1"/>
    <xf numFmtId="4" fontId="11" fillId="12" borderId="28" xfId="1" applyNumberFormat="1" applyFont="1" applyFill="1" applyBorder="1"/>
    <xf numFmtId="4" fontId="1" fillId="12" borderId="16" xfId="0" applyNumberFormat="1" applyFont="1" applyFill="1" applyBorder="1"/>
    <xf numFmtId="4" fontId="1" fillId="12" borderId="0" xfId="0" applyNumberFormat="1" applyFont="1" applyFill="1"/>
    <xf numFmtId="4" fontId="1" fillId="12" borderId="28" xfId="0" applyNumberFormat="1" applyFont="1" applyFill="1" applyBorder="1"/>
    <xf numFmtId="3" fontId="1" fillId="0" borderId="16" xfId="0" applyNumberFormat="1" applyFont="1" applyBorder="1"/>
    <xf numFmtId="3" fontId="1" fillId="0" borderId="28" xfId="0" applyNumberFormat="1" applyFont="1" applyBorder="1"/>
    <xf numFmtId="3" fontId="3" fillId="0" borderId="16" xfId="0" applyNumberFormat="1" applyFont="1" applyBorder="1"/>
    <xf numFmtId="3" fontId="3" fillId="0" borderId="28" xfId="0" applyNumberFormat="1" applyFont="1" applyBorder="1"/>
    <xf numFmtId="3" fontId="15" fillId="0" borderId="16" xfId="0" applyNumberFormat="1" applyFont="1" applyBorder="1"/>
    <xf numFmtId="3" fontId="15" fillId="0" borderId="28" xfId="0" applyNumberFormat="1" applyFont="1" applyBorder="1"/>
    <xf numFmtId="4" fontId="15" fillId="9" borderId="17" xfId="0" applyNumberFormat="1" applyFont="1" applyFill="1" applyBorder="1"/>
    <xf numFmtId="3" fontId="1" fillId="12" borderId="27" xfId="0" applyNumberFormat="1" applyFont="1" applyFill="1" applyBorder="1" applyAlignment="1">
      <alignment horizontal="center"/>
    </xf>
    <xf numFmtId="0" fontId="2" fillId="8" borderId="27" xfId="0" applyFont="1" applyFill="1" applyBorder="1" applyAlignment="1">
      <alignment horizontal="left"/>
    </xf>
    <xf numFmtId="3" fontId="11" fillId="13" borderId="27" xfId="0" applyNumberFormat="1" applyFont="1" applyFill="1" applyBorder="1" applyAlignment="1">
      <alignment horizontal="center"/>
    </xf>
    <xf numFmtId="0" fontId="1" fillId="0" borderId="0" xfId="0" quotePrefix="1" applyFont="1"/>
    <xf numFmtId="3" fontId="1" fillId="13" borderId="27" xfId="0" applyNumberFormat="1" applyFont="1" applyFill="1" applyBorder="1" applyAlignment="1">
      <alignment horizontal="center"/>
    </xf>
    <xf numFmtId="3" fontId="47" fillId="13" borderId="18" xfId="0" quotePrefix="1" applyNumberFormat="1" applyFont="1" applyFill="1" applyBorder="1"/>
    <xf numFmtId="3" fontId="47" fillId="13" borderId="17" xfId="0" applyNumberFormat="1" applyFont="1" applyFill="1" applyBorder="1"/>
    <xf numFmtId="171" fontId="4" fillId="0" borderId="0" xfId="0" applyNumberFormat="1" applyFont="1"/>
    <xf numFmtId="3" fontId="47" fillId="13" borderId="21" xfId="0" applyNumberFormat="1" applyFont="1" applyFill="1" applyBorder="1" applyAlignment="1">
      <alignment horizontal="right"/>
    </xf>
    <xf numFmtId="0" fontId="4" fillId="0" borderId="22" xfId="0" applyFont="1" applyBorder="1" applyAlignment="1">
      <alignment wrapText="1"/>
    </xf>
    <xf numFmtId="0" fontId="0" fillId="0" borderId="15" xfId="0" applyBorder="1" applyAlignment="1">
      <alignment wrapText="1"/>
    </xf>
    <xf numFmtId="0" fontId="4" fillId="0" borderId="16" xfId="0" applyFont="1" applyBorder="1" applyAlignment="1">
      <alignment wrapText="1"/>
    </xf>
    <xf numFmtId="0" fontId="0" fillId="0" borderId="0" xfId="0" applyAlignment="1">
      <alignment wrapText="1"/>
    </xf>
    <xf numFmtId="0" fontId="4" fillId="0" borderId="15" xfId="0" applyFont="1" applyBorder="1" applyAlignment="1">
      <alignment wrapText="1"/>
    </xf>
    <xf numFmtId="0" fontId="4" fillId="0" borderId="0" xfId="0" applyFont="1" applyAlignment="1">
      <alignment horizontal="left" vertical="top" wrapText="1"/>
    </xf>
  </cellXfs>
  <cellStyles count="3">
    <cellStyle name="Komma" xfId="1" builtinId="3"/>
    <cellStyle name="Normal" xfId="0" builtinId="0"/>
    <cellStyle name="Procent" xfId="2" builtinId="5"/>
  </cellStyles>
  <dxfs count="0"/>
  <tableStyles count="0" defaultTableStyle="TableStyleMedium9"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3">
    <pageSetUpPr fitToPage="1"/>
  </sheetPr>
  <dimension ref="A1:J39"/>
  <sheetViews>
    <sheetView workbookViewId="0">
      <selection activeCell="L12" sqref="L12"/>
    </sheetView>
  </sheetViews>
  <sheetFormatPr defaultRowHeight="13.2"/>
  <cols>
    <col min="1" max="1" width="16.44140625" customWidth="1"/>
    <col min="2" max="2" width="19.33203125" customWidth="1"/>
    <col min="3" max="3" width="14.109375" customWidth="1"/>
    <col min="4" max="4" width="13.109375" customWidth="1"/>
    <col min="5" max="5" width="9.5546875" customWidth="1"/>
    <col min="6" max="6" width="12.5546875" customWidth="1"/>
    <col min="7" max="7" width="3.5546875" customWidth="1"/>
    <col min="8" max="8" width="6.44140625" customWidth="1"/>
    <col min="9" max="9" width="11.109375" customWidth="1"/>
  </cols>
  <sheetData>
    <row r="1" spans="1:10">
      <c r="A1" s="197" t="s">
        <v>215</v>
      </c>
      <c r="B1" s="198"/>
      <c r="C1" s="198"/>
      <c r="D1" s="198"/>
      <c r="E1" s="198"/>
      <c r="F1" s="198"/>
      <c r="G1" s="146"/>
      <c r="H1" s="146"/>
      <c r="I1" s="146"/>
      <c r="J1" s="146"/>
    </row>
    <row r="2" spans="1:10" ht="17.399999999999999">
      <c r="A2" s="37" t="s">
        <v>70</v>
      </c>
      <c r="B2" s="146"/>
      <c r="C2" s="146"/>
      <c r="D2" s="198"/>
      <c r="E2" s="198"/>
      <c r="F2" s="198"/>
      <c r="G2" s="146"/>
      <c r="H2" s="146"/>
      <c r="I2" s="146"/>
      <c r="J2" s="146"/>
    </row>
    <row r="3" spans="1:10" ht="13.8">
      <c r="A3" s="242" t="s">
        <v>216</v>
      </c>
      <c r="B3" s="1"/>
      <c r="C3" s="1"/>
      <c r="D3" s="198"/>
      <c r="E3" s="198"/>
      <c r="F3" s="198"/>
      <c r="G3" s="146"/>
      <c r="H3" s="146"/>
      <c r="I3" s="146"/>
      <c r="J3" s="146"/>
    </row>
    <row r="4" spans="1:10">
      <c r="A4" s="146"/>
      <c r="B4" s="243" t="s">
        <v>271</v>
      </c>
      <c r="C4" s="1"/>
      <c r="D4" s="198"/>
      <c r="E4" s="198"/>
      <c r="F4" s="198"/>
      <c r="G4" s="146"/>
      <c r="H4" s="146"/>
      <c r="I4" s="146"/>
      <c r="J4" s="146"/>
    </row>
    <row r="5" spans="1:10">
      <c r="A5" s="200" t="s">
        <v>79</v>
      </c>
      <c r="B5" s="198"/>
      <c r="C5" s="198"/>
      <c r="D5" s="198"/>
      <c r="E5" s="198"/>
      <c r="F5" s="198"/>
      <c r="G5" s="146"/>
      <c r="H5" s="146"/>
      <c r="I5" s="146"/>
      <c r="J5" s="146"/>
    </row>
    <row r="6" spans="1:10">
      <c r="B6" s="198"/>
      <c r="C6" s="198"/>
      <c r="D6" s="198"/>
      <c r="E6" s="198"/>
      <c r="F6" s="198"/>
      <c r="G6" s="146"/>
      <c r="H6" s="146"/>
      <c r="I6" s="146"/>
      <c r="J6" s="146"/>
    </row>
    <row r="7" spans="1:10">
      <c r="A7" s="47" t="str">
        <f>+Takstberegning!B10</f>
        <v>Driftsherre:</v>
      </c>
      <c r="B7" s="368">
        <f>+Takstberegning!C10</f>
        <v>0</v>
      </c>
      <c r="C7" s="201" t="str">
        <f>+Takstberegning!B16</f>
        <v>Navn/Init.:</v>
      </c>
      <c r="D7" s="368">
        <f>+Takstberegning!C16</f>
        <v>0</v>
      </c>
      <c r="E7" s="202"/>
      <c r="F7" s="198"/>
      <c r="G7" s="146"/>
      <c r="H7" s="146"/>
      <c r="I7" s="146"/>
      <c r="J7" s="146"/>
    </row>
    <row r="8" spans="1:10">
      <c r="A8" s="47" t="str">
        <f>+Takstberegning!B11</f>
        <v>Sted/tilbud:</v>
      </c>
      <c r="B8" s="368">
        <f>+Takstberegning!C11</f>
        <v>0</v>
      </c>
      <c r="C8" s="201" t="str">
        <f>+Takstberegning!B17</f>
        <v>Dato:</v>
      </c>
      <c r="D8" s="368">
        <f>+Takstberegning!C17</f>
        <v>0</v>
      </c>
      <c r="E8" s="198"/>
      <c r="F8" s="198"/>
      <c r="G8" s="146"/>
      <c r="H8" s="146"/>
      <c r="I8" s="146"/>
      <c r="J8" s="146"/>
    </row>
    <row r="9" spans="1:10">
      <c r="A9" s="47" t="str">
        <f>+Takstberegning!B12</f>
        <v>Tilbudstype:</v>
      </c>
      <c r="B9" s="368">
        <f>+Takstberegning!C12</f>
        <v>0</v>
      </c>
      <c r="C9" s="201" t="str">
        <f>+Takstberegning!B18</f>
        <v>version:</v>
      </c>
      <c r="D9" s="368">
        <f>+Takstberegning!C18</f>
        <v>0</v>
      </c>
      <c r="E9" s="203" t="s">
        <v>151</v>
      </c>
      <c r="F9" s="198"/>
      <c r="G9" s="146"/>
      <c r="H9" s="146"/>
      <c r="I9" s="146"/>
      <c r="J9" s="146"/>
    </row>
    <row r="10" spans="1:10">
      <c r="A10" s="47" t="str">
        <f>+Takstberegning!B13</f>
        <v>Vælg 'Takstberegning' (budget) eller 'Efterkalkulation' (regnskab):</v>
      </c>
      <c r="B10" s="368">
        <f>+Takstberegning!C13</f>
        <v>0</v>
      </c>
      <c r="C10" s="201"/>
      <c r="D10" s="198"/>
      <c r="E10" s="198"/>
      <c r="F10" s="198"/>
      <c r="G10" s="146"/>
      <c r="H10" s="146"/>
      <c r="I10" s="146"/>
      <c r="J10" s="146"/>
    </row>
    <row r="11" spans="1:10">
      <c r="A11" s="47" t="str">
        <f>+Takstberegning!B14</f>
        <v xml:space="preserve">År: </v>
      </c>
      <c r="B11" s="369">
        <f>+Takstberegning!C14</f>
        <v>0</v>
      </c>
      <c r="C11" s="198"/>
      <c r="E11" s="198"/>
      <c r="F11" s="198"/>
      <c r="G11" s="146"/>
      <c r="H11" s="146"/>
      <c r="I11" s="146"/>
      <c r="J11" s="146"/>
    </row>
    <row r="12" spans="1:10">
      <c r="A12" s="47"/>
      <c r="B12" s="198"/>
      <c r="C12" s="198"/>
      <c r="D12" s="203"/>
      <c r="E12" s="198"/>
      <c r="F12" s="198"/>
      <c r="G12" s="146"/>
      <c r="H12" s="146"/>
      <c r="I12" s="146"/>
      <c r="J12" s="146"/>
    </row>
    <row r="13" spans="1:10">
      <c r="A13" s="199" t="s">
        <v>80</v>
      </c>
      <c r="B13" s="198"/>
      <c r="C13" s="198"/>
      <c r="D13" s="198"/>
      <c r="E13" s="198"/>
      <c r="F13" s="198"/>
      <c r="G13" s="146"/>
      <c r="H13" s="146"/>
      <c r="I13" s="146"/>
      <c r="J13" s="146"/>
    </row>
    <row r="14" spans="1:10">
      <c r="A14" s="204" t="s">
        <v>191</v>
      </c>
      <c r="B14" s="198"/>
      <c r="C14" s="198"/>
      <c r="D14" s="198"/>
      <c r="E14" s="198"/>
      <c r="F14" s="198"/>
      <c r="G14" s="146"/>
      <c r="H14" s="146"/>
      <c r="I14" s="146"/>
      <c r="J14" s="146"/>
    </row>
    <row r="15" spans="1:10">
      <c r="A15" s="204"/>
      <c r="B15" s="198"/>
      <c r="C15" s="198"/>
      <c r="D15" s="198"/>
      <c r="E15" s="198"/>
      <c r="F15" s="198"/>
      <c r="G15" s="146"/>
      <c r="H15" s="146"/>
      <c r="I15" s="146"/>
      <c r="J15" s="146"/>
    </row>
    <row r="16" spans="1:10">
      <c r="A16" s="205" t="s">
        <v>212</v>
      </c>
      <c r="B16" s="206"/>
      <c r="C16" s="205" t="s">
        <v>89</v>
      </c>
      <c r="D16" s="207" t="s">
        <v>210</v>
      </c>
      <c r="E16" s="207" t="s">
        <v>91</v>
      </c>
      <c r="F16" s="206" t="s">
        <v>90</v>
      </c>
      <c r="G16" s="146"/>
      <c r="H16" s="208"/>
      <c r="I16" s="101" t="s">
        <v>81</v>
      </c>
      <c r="J16" s="146"/>
    </row>
    <row r="17" spans="1:10">
      <c r="A17" s="209" t="s">
        <v>193</v>
      </c>
      <c r="B17" s="246"/>
      <c r="C17" s="210">
        <f>+Takstberegning!F101</f>
        <v>0</v>
      </c>
      <c r="D17" s="211">
        <f>+Takstberegning!F107</f>
        <v>365</v>
      </c>
      <c r="E17" s="212" t="s">
        <v>92</v>
      </c>
      <c r="F17" s="213">
        <f>+C17/D17</f>
        <v>0</v>
      </c>
      <c r="G17" s="146"/>
      <c r="H17" s="97" t="s">
        <v>199</v>
      </c>
      <c r="I17" s="98" t="str">
        <f>(LEFT(B17,7))</f>
        <v/>
      </c>
      <c r="J17" s="146"/>
    </row>
    <row r="18" spans="1:10">
      <c r="A18" s="214" t="s">
        <v>205</v>
      </c>
      <c r="B18" s="246"/>
      <c r="C18" s="215">
        <f>+Takstberegning!G101</f>
        <v>0</v>
      </c>
      <c r="D18" s="216">
        <f>+Takstberegning!G107</f>
        <v>3.65E-5</v>
      </c>
      <c r="E18" s="198" t="s">
        <v>92</v>
      </c>
      <c r="F18" s="217">
        <f t="shared" ref="F18:F20" si="0">IF(D18=0,"-",+C18/D18)</f>
        <v>0</v>
      </c>
      <c r="G18" s="146"/>
      <c r="H18" s="97" t="s">
        <v>194</v>
      </c>
      <c r="I18" s="98" t="str">
        <f t="shared" ref="I18:I21" si="1">(LEFT(B18,7))</f>
        <v/>
      </c>
      <c r="J18" s="146"/>
    </row>
    <row r="19" spans="1:10">
      <c r="A19" s="214" t="s">
        <v>206</v>
      </c>
      <c r="B19" s="246"/>
      <c r="C19" s="215">
        <f>+Takstberegning!H101</f>
        <v>0</v>
      </c>
      <c r="D19" s="216">
        <f>+Takstberegning!H107</f>
        <v>3.65E-5</v>
      </c>
      <c r="E19" s="198" t="s">
        <v>92</v>
      </c>
      <c r="F19" s="217">
        <f t="shared" si="0"/>
        <v>0</v>
      </c>
      <c r="G19" s="146"/>
      <c r="H19" s="97" t="s">
        <v>195</v>
      </c>
      <c r="I19" s="98" t="str">
        <f t="shared" si="1"/>
        <v/>
      </c>
      <c r="J19" s="146"/>
    </row>
    <row r="20" spans="1:10">
      <c r="A20" s="214" t="s">
        <v>207</v>
      </c>
      <c r="B20" s="246"/>
      <c r="C20" s="215">
        <f>+Takstberegning!I101</f>
        <v>0</v>
      </c>
      <c r="D20" s="216">
        <f>+Takstberegning!I107</f>
        <v>3.65E-5</v>
      </c>
      <c r="E20" s="198" t="s">
        <v>92</v>
      </c>
      <c r="F20" s="217">
        <f t="shared" si="0"/>
        <v>0</v>
      </c>
      <c r="G20" s="146"/>
      <c r="H20" s="97" t="s">
        <v>196</v>
      </c>
      <c r="I20" s="98" t="str">
        <f t="shared" si="1"/>
        <v/>
      </c>
      <c r="J20" s="146"/>
    </row>
    <row r="21" spans="1:10">
      <c r="A21" s="214" t="s">
        <v>208</v>
      </c>
      <c r="B21" s="246"/>
      <c r="C21" s="218">
        <f>+Takstberegning!J101</f>
        <v>0</v>
      </c>
      <c r="D21" s="219">
        <f>+Takstberegning!J107</f>
        <v>3.65E-5</v>
      </c>
      <c r="E21" s="220" t="s">
        <v>92</v>
      </c>
      <c r="F21" s="221">
        <f>IF(D21=0,"-",+C21/D21)</f>
        <v>0</v>
      </c>
      <c r="G21" s="146"/>
      <c r="H21" s="99" t="s">
        <v>197</v>
      </c>
      <c r="I21" s="100" t="str">
        <f t="shared" si="1"/>
        <v/>
      </c>
      <c r="J21" s="146"/>
    </row>
    <row r="22" spans="1:10">
      <c r="A22" s="205" t="s">
        <v>24</v>
      </c>
      <c r="B22" s="207"/>
      <c r="C22" s="222">
        <f>SUM(C17:C21)</f>
        <v>0</v>
      </c>
      <c r="D22" s="220"/>
      <c r="E22" s="220"/>
      <c r="F22" s="223"/>
      <c r="G22" s="146"/>
      <c r="H22" s="146"/>
      <c r="I22" s="146"/>
      <c r="J22" s="146"/>
    </row>
    <row r="23" spans="1:10">
      <c r="A23" s="146"/>
      <c r="B23" s="146"/>
      <c r="C23" s="146"/>
      <c r="D23" s="146"/>
      <c r="E23" s="146"/>
      <c r="F23" s="146"/>
      <c r="G23" s="146"/>
      <c r="H23" s="146"/>
      <c r="I23" s="146"/>
      <c r="J23" s="146"/>
    </row>
    <row r="24" spans="1:10">
      <c r="A24" s="224" t="s">
        <v>189</v>
      </c>
      <c r="B24" s="225" t="s">
        <v>106</v>
      </c>
      <c r="C24" s="226">
        <f>+Takstberegning!C101</f>
        <v>1.0000000000000001E-5</v>
      </c>
      <c r="D24" s="225" t="s">
        <v>105</v>
      </c>
      <c r="E24" s="363">
        <f>+C22-C24</f>
        <v>-1.0000000000000001E-5</v>
      </c>
      <c r="F24" s="131" t="str">
        <f>IF(ABS(E24)&lt;1,"OK","Alt er ikke fordelt - det' en OM'er!")</f>
        <v>OK</v>
      </c>
      <c r="G24" s="146"/>
      <c r="H24" s="146"/>
      <c r="I24" s="364"/>
      <c r="J24" s="146"/>
    </row>
    <row r="25" spans="1:10">
      <c r="A25" s="224"/>
      <c r="B25" s="225"/>
      <c r="C25" s="226"/>
      <c r="D25" s="225"/>
      <c r="E25" s="227"/>
      <c r="F25" s="131"/>
      <c r="G25" s="146"/>
      <c r="H25" s="146"/>
      <c r="I25" s="146"/>
      <c r="J25" s="146"/>
    </row>
    <row r="26" spans="1:10">
      <c r="A26" s="224"/>
      <c r="B26" s="225"/>
      <c r="C26" s="226"/>
      <c r="D26" s="225"/>
      <c r="E26" s="227"/>
      <c r="F26" s="131"/>
      <c r="G26" s="146"/>
      <c r="H26" s="146"/>
      <c r="I26" s="146"/>
      <c r="J26" s="146"/>
    </row>
    <row r="27" spans="1:10">
      <c r="A27" s="146" t="s">
        <v>211</v>
      </c>
      <c r="B27" s="146"/>
      <c r="C27" s="146"/>
      <c r="D27" s="146"/>
      <c r="E27" s="146"/>
      <c r="F27" s="146"/>
      <c r="G27" s="146"/>
      <c r="H27" s="146"/>
      <c r="I27" s="146"/>
      <c r="J27" s="146"/>
    </row>
    <row r="28" spans="1:10">
      <c r="A28" s="187" t="s">
        <v>212</v>
      </c>
      <c r="B28" s="228"/>
      <c r="C28" s="189" t="s">
        <v>209</v>
      </c>
      <c r="D28" s="188" t="s">
        <v>210</v>
      </c>
      <c r="E28" s="189" t="s">
        <v>91</v>
      </c>
      <c r="F28" s="228" t="s">
        <v>90</v>
      </c>
      <c r="G28" s="189"/>
      <c r="H28" s="228" t="s">
        <v>214</v>
      </c>
      <c r="I28" s="225" t="s">
        <v>307</v>
      </c>
      <c r="J28" s="146"/>
    </row>
    <row r="29" spans="1:10">
      <c r="A29" s="190" t="str">
        <f>+A17</f>
        <v>Basistakst</v>
      </c>
      <c r="B29" s="191"/>
      <c r="C29" s="192">
        <f>+C$17</f>
        <v>0</v>
      </c>
      <c r="D29" s="193">
        <f>+D17</f>
        <v>365</v>
      </c>
      <c r="E29" s="194" t="s">
        <v>92</v>
      </c>
      <c r="F29" s="195">
        <f>IF(D29=0,"-",+F$17)</f>
        <v>0</v>
      </c>
      <c r="G29" s="194"/>
      <c r="H29" s="195"/>
      <c r="I29" s="403">
        <f>+Forside!D29/Takstberegning!C$106</f>
        <v>1</v>
      </c>
      <c r="J29" s="146"/>
    </row>
    <row r="30" spans="1:10">
      <c r="A30" s="145" t="str">
        <f>_xlfn.CONCAT(A$17,"+ ",A18)</f>
        <v>Basistakst+ Ydelsesniv.1</v>
      </c>
      <c r="B30" s="229"/>
      <c r="C30" s="230">
        <f>IF(D30=0,"-",+F30*D30)</f>
        <v>0</v>
      </c>
      <c r="D30" s="231">
        <f>+D18</f>
        <v>3.65E-5</v>
      </c>
      <c r="E30" s="146" t="s">
        <v>92</v>
      </c>
      <c r="F30" s="373">
        <f>IF(D30=0,"-",+F$17+F18)</f>
        <v>0</v>
      </c>
      <c r="G30" s="146"/>
      <c r="H30" s="232" t="e">
        <f>IF(D30=0,"-",C30/C$34)</f>
        <v>#DIV/0!</v>
      </c>
      <c r="I30" s="403">
        <f>+Forside!D30/Takstberegning!C$106</f>
        <v>9.9999999999999995E-8</v>
      </c>
      <c r="J30" s="146"/>
    </row>
    <row r="31" spans="1:10">
      <c r="A31" s="145" t="str">
        <f>_xlfn.CONCAT(A$17,"+ ",A19)</f>
        <v>Basistakst+ Ydelsesniv.2</v>
      </c>
      <c r="B31" s="229"/>
      <c r="C31" s="230">
        <f t="shared" ref="C31:C32" si="2">IF(D31=0,"-",+F31*D31)</f>
        <v>0</v>
      </c>
      <c r="D31" s="231">
        <f>+D19</f>
        <v>3.65E-5</v>
      </c>
      <c r="E31" s="146" t="s">
        <v>92</v>
      </c>
      <c r="F31" s="373">
        <f>IF(D31=0,"-",+F$17+F19)</f>
        <v>0</v>
      </c>
      <c r="G31" s="146"/>
      <c r="H31" s="232" t="e">
        <f>IF(D31=0,"-",C31/C$34)</f>
        <v>#DIV/0!</v>
      </c>
      <c r="I31" s="403">
        <f>+Forside!D31/Takstberegning!C$106</f>
        <v>9.9999999999999995E-8</v>
      </c>
      <c r="J31" s="146"/>
    </row>
    <row r="32" spans="1:10">
      <c r="A32" s="145" t="str">
        <f>_xlfn.CONCAT(A$17,"+ ",A20)</f>
        <v>Basistakst+ Ydelsesniv.3</v>
      </c>
      <c r="B32" s="229"/>
      <c r="C32" s="230">
        <f t="shared" si="2"/>
        <v>0</v>
      </c>
      <c r="D32" s="231">
        <f>+D20</f>
        <v>3.65E-5</v>
      </c>
      <c r="E32" s="146" t="s">
        <v>92</v>
      </c>
      <c r="F32" s="373">
        <f>IF(D32=0,"-",+F$17+F20)</f>
        <v>0</v>
      </c>
      <c r="G32" s="146"/>
      <c r="H32" s="232" t="e">
        <f>IF(D32=0,"-",C32/C$34)</f>
        <v>#DIV/0!</v>
      </c>
      <c r="I32" s="403">
        <f>+Forside!D32/Takstberegning!C$106</f>
        <v>9.9999999999999995E-8</v>
      </c>
      <c r="J32" s="146"/>
    </row>
    <row r="33" spans="1:10">
      <c r="A33" s="233" t="str">
        <f>_xlfn.CONCAT(A$17,"+ ",A21)</f>
        <v>Basistakst+ Ydelsesniv.4</v>
      </c>
      <c r="B33" s="234"/>
      <c r="C33" s="235">
        <f>IF(D33=0,"-",+F33*D33)</f>
        <v>0</v>
      </c>
      <c r="D33" s="236">
        <f>+D21</f>
        <v>3.65E-5</v>
      </c>
      <c r="E33" s="237" t="s">
        <v>92</v>
      </c>
      <c r="F33" s="374">
        <f>IF(D33=0,"-",+F$17+F21)</f>
        <v>0</v>
      </c>
      <c r="G33" s="237"/>
      <c r="H33" s="238" t="e">
        <f>IF(D33=0,"-",C33/C$34)</f>
        <v>#DIV/0!</v>
      </c>
      <c r="I33" s="403">
        <f>+Forside!D33/Takstberegning!C$106</f>
        <v>9.9999999999999995E-8</v>
      </c>
      <c r="J33" s="146"/>
    </row>
    <row r="34" spans="1:10">
      <c r="A34" s="233"/>
      <c r="B34" s="234"/>
      <c r="C34" s="239">
        <f>SUM(C30:C33)</f>
        <v>0</v>
      </c>
      <c r="D34" s="239">
        <f>SUM(D30:D33)</f>
        <v>1.46E-4</v>
      </c>
      <c r="E34" s="237"/>
      <c r="F34" s="362">
        <f>+C34/D34</f>
        <v>0</v>
      </c>
      <c r="G34" s="237"/>
      <c r="H34" s="240" t="e">
        <f>SUM(H30:H33)</f>
        <v>#DIV/0!</v>
      </c>
      <c r="I34" s="403">
        <f>+Forside!D34/Takstberegning!C$106</f>
        <v>3.9999999999999998E-7</v>
      </c>
      <c r="J34" s="146"/>
    </row>
    <row r="35" spans="1:10">
      <c r="A35" s="146"/>
      <c r="B35" s="146"/>
      <c r="C35" s="146"/>
      <c r="D35" s="146"/>
      <c r="E35" s="146"/>
      <c r="F35" s="146"/>
      <c r="G35" s="146"/>
      <c r="H35" s="146"/>
      <c r="I35" s="146"/>
      <c r="J35" s="146"/>
    </row>
    <row r="36" spans="1:10">
      <c r="A36" s="224"/>
      <c r="B36" s="225" t="s">
        <v>213</v>
      </c>
      <c r="C36" s="226">
        <f>+C22-C34</f>
        <v>0</v>
      </c>
      <c r="D36" s="146"/>
      <c r="E36" s="146"/>
      <c r="F36" s="131" t="str">
        <f>IF(ABS(C36)&lt;1,"OK","NB: Indtægter svarer ikke til omkostninger...!")</f>
        <v>OK</v>
      </c>
      <c r="G36" s="146"/>
      <c r="H36" s="146"/>
      <c r="I36" s="146"/>
      <c r="J36" s="146"/>
    </row>
    <row r="37" spans="1:10">
      <c r="A37" s="146"/>
      <c r="B37" s="146"/>
      <c r="C37" s="146"/>
      <c r="D37" s="146"/>
      <c r="E37" s="146"/>
      <c r="F37" s="146"/>
      <c r="G37" s="146"/>
      <c r="H37" s="146"/>
      <c r="I37" s="146"/>
      <c r="J37" s="146"/>
    </row>
    <row r="38" spans="1:10">
      <c r="A38" s="146"/>
      <c r="B38" s="146"/>
      <c r="C38" s="146"/>
      <c r="D38" s="146"/>
      <c r="E38" s="146"/>
      <c r="F38" s="146"/>
      <c r="G38" s="146"/>
      <c r="H38" s="146"/>
      <c r="I38" s="146"/>
      <c r="J38" s="146"/>
    </row>
    <row r="39" spans="1:10">
      <c r="A39" s="146"/>
      <c r="B39" s="146"/>
      <c r="C39" s="146"/>
      <c r="D39" s="146"/>
      <c r="E39" s="146"/>
      <c r="F39" s="146"/>
      <c r="G39" s="146"/>
      <c r="H39" s="146"/>
      <c r="I39" s="146"/>
      <c r="J39" s="146"/>
    </row>
  </sheetData>
  <phoneticPr fontId="38" type="noConversion"/>
  <pageMargins left="0.70866141732283472" right="0.70866141732283472" top="0.74803149606299213" bottom="0.74803149606299213" header="0.31496062992125984" footer="0.31496062992125984"/>
  <pageSetup paperSize="9" orientation="landscape"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3"/>
  <sheetViews>
    <sheetView topLeftCell="A11" workbookViewId="0">
      <selection activeCell="O35" sqref="O35"/>
    </sheetView>
  </sheetViews>
  <sheetFormatPr defaultRowHeight="13.2"/>
  <cols>
    <col min="1" max="1" width="15.88671875" customWidth="1"/>
    <col min="2" max="2" width="3.6640625" customWidth="1"/>
    <col min="3" max="3" width="12.44140625" customWidth="1"/>
    <col min="4" max="4" width="12.33203125" customWidth="1"/>
    <col min="5" max="5" width="4.6640625" customWidth="1"/>
    <col min="6" max="7" width="10.88671875" customWidth="1"/>
    <col min="8" max="8" width="5" customWidth="1"/>
    <col min="10" max="10" width="11.33203125" customWidth="1"/>
    <col min="11" max="11" width="5.33203125" customWidth="1"/>
  </cols>
  <sheetData>
    <row r="1" spans="1:1" ht="13.8">
      <c r="A1" s="133" t="s">
        <v>127</v>
      </c>
    </row>
    <row r="3" spans="1:1" ht="14.4">
      <c r="A3" s="132" t="s">
        <v>152</v>
      </c>
    </row>
    <row r="4" spans="1:1" ht="14.4">
      <c r="A4" s="132" t="s">
        <v>153</v>
      </c>
    </row>
    <row r="6" spans="1:1" ht="14.4">
      <c r="A6" s="138" t="s">
        <v>126</v>
      </c>
    </row>
    <row r="7" spans="1:1" ht="14.4">
      <c r="A7" s="132" t="s">
        <v>154</v>
      </c>
    </row>
    <row r="8" spans="1:1" ht="14.4">
      <c r="A8" s="132" t="s">
        <v>155</v>
      </c>
    </row>
    <row r="9" spans="1:1" ht="14.4">
      <c r="A9" s="132" t="s">
        <v>156</v>
      </c>
    </row>
    <row r="10" spans="1:1" ht="14.4">
      <c r="A10" s="132" t="s">
        <v>157</v>
      </c>
    </row>
    <row r="11" spans="1:1" ht="14.4">
      <c r="A11" s="132" t="s">
        <v>158</v>
      </c>
    </row>
    <row r="12" spans="1:1" ht="14.4">
      <c r="A12" s="132" t="s">
        <v>128</v>
      </c>
    </row>
    <row r="13" spans="1:1" ht="14.4">
      <c r="A13" s="132" t="s">
        <v>129</v>
      </c>
    </row>
    <row r="15" spans="1:1" ht="14.4">
      <c r="A15" s="132" t="s">
        <v>159</v>
      </c>
    </row>
    <row r="16" spans="1:1" ht="14.4">
      <c r="A16" s="132"/>
    </row>
    <row r="17" spans="1:11" ht="14.4">
      <c r="A17" s="138" t="s">
        <v>130</v>
      </c>
    </row>
    <row r="18" spans="1:11" ht="14.4">
      <c r="A18" s="132"/>
    </row>
    <row r="19" spans="1:11" ht="14.4">
      <c r="A19" s="138" t="s">
        <v>131</v>
      </c>
    </row>
    <row r="20" spans="1:11" ht="14.4">
      <c r="A20" s="138"/>
    </row>
    <row r="23" spans="1:11">
      <c r="A23" s="139" t="s">
        <v>132</v>
      </c>
    </row>
    <row r="24" spans="1:11">
      <c r="A24" s="4" t="s">
        <v>143</v>
      </c>
    </row>
    <row r="26" spans="1:11">
      <c r="C26" s="135" t="s">
        <v>139</v>
      </c>
      <c r="D26" s="96"/>
      <c r="F26" s="135" t="s">
        <v>138</v>
      </c>
      <c r="G26" s="96"/>
    </row>
    <row r="27" spans="1:11">
      <c r="A27" s="125" t="s">
        <v>133</v>
      </c>
      <c r="B27" s="125" t="s">
        <v>147</v>
      </c>
      <c r="C27" s="376">
        <v>40000</v>
      </c>
      <c r="D27" s="134"/>
      <c r="G27" s="376">
        <f>+C27</f>
        <v>40000</v>
      </c>
      <c r="H27" s="125" t="s">
        <v>150</v>
      </c>
    </row>
    <row r="28" spans="1:11">
      <c r="A28" s="125" t="s">
        <v>134</v>
      </c>
      <c r="G28" s="376">
        <v>50000</v>
      </c>
      <c r="H28" s="125" t="s">
        <v>150</v>
      </c>
    </row>
    <row r="29" spans="1:11">
      <c r="A29" s="125" t="s">
        <v>145</v>
      </c>
      <c r="G29" s="137" t="s">
        <v>125</v>
      </c>
    </row>
    <row r="31" spans="1:11">
      <c r="C31" s="135" t="s">
        <v>140</v>
      </c>
      <c r="D31" s="96"/>
      <c r="I31" s="135" t="s">
        <v>137</v>
      </c>
      <c r="J31" s="96"/>
    </row>
    <row r="32" spans="1:11">
      <c r="A32" s="125" t="s">
        <v>135</v>
      </c>
      <c r="B32" s="125" t="s">
        <v>147</v>
      </c>
      <c r="C32" s="376">
        <v>2000000</v>
      </c>
      <c r="D32" s="134"/>
      <c r="H32" s="125" t="s">
        <v>149</v>
      </c>
      <c r="I32" s="125"/>
      <c r="J32" s="376">
        <f>+C32</f>
        <v>2000000</v>
      </c>
      <c r="K32" s="125" t="s">
        <v>150</v>
      </c>
    </row>
    <row r="34" spans="1:7">
      <c r="C34" s="135" t="s">
        <v>141</v>
      </c>
      <c r="D34" s="96"/>
      <c r="F34" s="135" t="s">
        <v>142</v>
      </c>
      <c r="G34" s="96"/>
    </row>
    <row r="35" spans="1:7">
      <c r="A35" s="125" t="s">
        <v>136</v>
      </c>
      <c r="C35" s="125"/>
      <c r="D35" s="376">
        <f>+C32</f>
        <v>2000000</v>
      </c>
      <c r="E35" s="125" t="s">
        <v>148</v>
      </c>
      <c r="F35" s="376">
        <f>+D35</f>
        <v>2000000</v>
      </c>
      <c r="G35" s="136"/>
    </row>
    <row r="37" spans="1:7">
      <c r="C37" s="96"/>
      <c r="D37" s="96"/>
      <c r="F37" s="96"/>
      <c r="G37" s="96"/>
    </row>
    <row r="38" spans="1:7">
      <c r="A38" s="125" t="s">
        <v>24</v>
      </c>
      <c r="C38" s="376">
        <f>+C27</f>
        <v>40000</v>
      </c>
      <c r="D38" s="134"/>
      <c r="F38" s="125" t="s">
        <v>144</v>
      </c>
      <c r="G38" s="125"/>
    </row>
    <row r="39" spans="1:7">
      <c r="F39" s="125"/>
    </row>
    <row r="40" spans="1:7">
      <c r="C40" s="125" t="s">
        <v>146</v>
      </c>
    </row>
    <row r="43" spans="1:7">
      <c r="A43" s="131"/>
    </row>
  </sheetData>
  <pageMargins left="0.70866141732283472" right="0.70866141732283472" top="0.74803149606299213" bottom="0.74803149606299213" header="0.31496062992125984" footer="0.31496062992125984"/>
  <pageSetup paperSize="9" scale="87"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3343-0F81-494C-BCCB-19C9069D4B8B}">
  <dimension ref="A1:P141"/>
  <sheetViews>
    <sheetView tabSelected="1" workbookViewId="0">
      <selection activeCell="D5" sqref="D5"/>
    </sheetView>
  </sheetViews>
  <sheetFormatPr defaultColWidth="9.109375" defaultRowHeight="13.2"/>
  <cols>
    <col min="1" max="1" width="5.6640625" style="146" customWidth="1"/>
    <col min="2" max="2" width="43.109375" style="146" customWidth="1"/>
    <col min="3" max="3" width="15.44140625" style="146" customWidth="1"/>
    <col min="4" max="4" width="13.88671875" customWidth="1"/>
    <col min="5" max="5" width="8.33203125" bestFit="1" customWidth="1"/>
    <col min="6" max="6" width="9" style="146" customWidth="1"/>
    <col min="7" max="7" width="9.109375" style="146" customWidth="1"/>
    <col min="8" max="11" width="9.6640625" style="146" bestFit="1" customWidth="1"/>
    <col min="12" max="12" width="28.109375" style="146" customWidth="1"/>
    <col min="13" max="16384" width="9.109375" style="146"/>
  </cols>
  <sheetData>
    <row r="1" spans="1:12">
      <c r="A1" s="241" t="s">
        <v>215</v>
      </c>
    </row>
    <row r="2" spans="1:12" ht="8.25" customHeight="1">
      <c r="A2" s="131"/>
    </row>
    <row r="3" spans="1:12" ht="8.25" customHeight="1">
      <c r="A3" s="131"/>
    </row>
    <row r="4" spans="1:12" ht="17.399999999999999">
      <c r="A4" s="37" t="s">
        <v>70</v>
      </c>
    </row>
    <row r="5" spans="1:12" ht="17.25" customHeight="1">
      <c r="A5" s="242" t="s">
        <v>216</v>
      </c>
      <c r="B5" s="1"/>
      <c r="C5" s="1"/>
    </row>
    <row r="6" spans="1:12" ht="17.25" customHeight="1">
      <c r="B6" s="243" t="s">
        <v>271</v>
      </c>
      <c r="C6" s="1"/>
    </row>
    <row r="7" spans="1:12" ht="15" customHeight="1">
      <c r="B7" s="4" t="s">
        <v>217</v>
      </c>
      <c r="C7" s="1"/>
    </row>
    <row r="8" spans="1:12">
      <c r="B8" s="1"/>
      <c r="C8" s="1"/>
      <c r="D8" s="146"/>
      <c r="E8" s="146"/>
    </row>
    <row r="9" spans="1:12" ht="15.75" customHeight="1">
      <c r="A9" s="186" t="s">
        <v>218</v>
      </c>
      <c r="B9" s="42"/>
      <c r="C9" s="244"/>
      <c r="D9" s="244"/>
      <c r="E9" s="41" t="s">
        <v>65</v>
      </c>
      <c r="F9" s="41" t="s">
        <v>192</v>
      </c>
      <c r="G9" s="42" t="s">
        <v>194</v>
      </c>
      <c r="H9" s="42" t="s">
        <v>195</v>
      </c>
      <c r="I9" s="42" t="s">
        <v>196</v>
      </c>
      <c r="J9" s="43" t="s">
        <v>197</v>
      </c>
      <c r="K9" s="43" t="s">
        <v>66</v>
      </c>
      <c r="L9" s="140" t="s">
        <v>104</v>
      </c>
    </row>
    <row r="10" spans="1:12">
      <c r="A10" s="187"/>
      <c r="B10" s="47" t="s">
        <v>219</v>
      </c>
      <c r="C10" s="245"/>
      <c r="E10" s="161">
        <v>1</v>
      </c>
      <c r="F10" s="162">
        <f>+Fordelingsnøgler!B14</f>
        <v>1</v>
      </c>
      <c r="G10" s="163">
        <f>+Fordelingsnøgler!C14</f>
        <v>0</v>
      </c>
      <c r="H10" s="163">
        <f>+Fordelingsnøgler!D14</f>
        <v>0</v>
      </c>
      <c r="I10" s="163">
        <f>+Fordelingsnøgler!E14</f>
        <v>0</v>
      </c>
      <c r="J10" s="164">
        <f>+Fordelingsnøgler!F14</f>
        <v>0</v>
      </c>
      <c r="K10" s="165">
        <f>SUM(F10:J10)</f>
        <v>1</v>
      </c>
      <c r="L10" s="370">
        <f>+Fordelingsnøgler!B11</f>
        <v>0</v>
      </c>
    </row>
    <row r="11" spans="1:12">
      <c r="A11" s="145"/>
      <c r="B11" s="47" t="s">
        <v>270</v>
      </c>
      <c r="C11" s="246"/>
      <c r="E11" s="161">
        <v>2</v>
      </c>
      <c r="F11" s="162">
        <f>+Fordelingsnøgler!B19</f>
        <v>0</v>
      </c>
      <c r="G11" s="163">
        <f>+Fordelingsnøgler!C19</f>
        <v>0.25</v>
      </c>
      <c r="H11" s="163">
        <f>+Fordelingsnøgler!D19</f>
        <v>0.25</v>
      </c>
      <c r="I11" s="163">
        <f>+Fordelingsnøgler!E19</f>
        <v>0.25</v>
      </c>
      <c r="J11" s="164">
        <f>+Fordelingsnøgler!F19</f>
        <v>0.25</v>
      </c>
      <c r="K11" s="165">
        <f>SUM(F11:J11)</f>
        <v>1</v>
      </c>
      <c r="L11" s="371">
        <f>+Fordelingsnøgler!B16</f>
        <v>0</v>
      </c>
    </row>
    <row r="12" spans="1:12">
      <c r="A12" s="145"/>
      <c r="B12" s="47" t="s">
        <v>220</v>
      </c>
      <c r="C12" s="245"/>
      <c r="E12" s="161">
        <v>3</v>
      </c>
      <c r="F12" s="162">
        <f>+Fordelingsnøgler!B24</f>
        <v>0</v>
      </c>
      <c r="G12" s="163">
        <f>+Fordelingsnøgler!C24</f>
        <v>0.25</v>
      </c>
      <c r="H12" s="163">
        <f>+Fordelingsnøgler!D24</f>
        <v>0.25</v>
      </c>
      <c r="I12" s="163">
        <f>+Fordelingsnøgler!E24</f>
        <v>0.25</v>
      </c>
      <c r="J12" s="164">
        <f>+Fordelingsnøgler!F24</f>
        <v>0.25</v>
      </c>
      <c r="K12" s="165">
        <f>SUM(F12:J12)</f>
        <v>1</v>
      </c>
      <c r="L12" s="371">
        <f>+Fordelingsnøgler!B21</f>
        <v>0</v>
      </c>
    </row>
    <row r="13" spans="1:12" ht="23.4">
      <c r="A13" s="145"/>
      <c r="B13" s="247" t="s">
        <v>221</v>
      </c>
      <c r="C13" s="248"/>
      <c r="E13" s="351">
        <v>4</v>
      </c>
      <c r="F13" s="352">
        <f>+Fordelingsnøgler!B29</f>
        <v>0</v>
      </c>
      <c r="G13" s="353">
        <f>+Fordelingsnøgler!C29</f>
        <v>0.25</v>
      </c>
      <c r="H13" s="353">
        <f>+Fordelingsnøgler!D29</f>
        <v>0.25</v>
      </c>
      <c r="I13" s="353">
        <f>+Fordelingsnøgler!E29</f>
        <v>0.25</v>
      </c>
      <c r="J13" s="354">
        <f>+Fordelingsnøgler!F29</f>
        <v>0.25</v>
      </c>
      <c r="K13" s="355">
        <f>SUM(F13:J13)</f>
        <v>1</v>
      </c>
      <c r="L13" s="372">
        <f>+Fordelingsnøgler!B26</f>
        <v>0</v>
      </c>
    </row>
    <row r="14" spans="1:12" ht="12.75" customHeight="1">
      <c r="A14" s="145"/>
      <c r="B14" s="47" t="s">
        <v>222</v>
      </c>
      <c r="C14" s="249"/>
      <c r="E14" s="161">
        <v>5</v>
      </c>
      <c r="F14" s="162">
        <f>+Fordelingsnøgler!B34</f>
        <v>1</v>
      </c>
      <c r="G14" s="163">
        <f>+Fordelingsnøgler!C34</f>
        <v>0</v>
      </c>
      <c r="H14" s="163">
        <f>+Fordelingsnøgler!D34</f>
        <v>0</v>
      </c>
      <c r="I14" s="163">
        <f>+Fordelingsnøgler!E34</f>
        <v>0</v>
      </c>
      <c r="J14" s="164">
        <f>+Fordelingsnøgler!F34</f>
        <v>0</v>
      </c>
      <c r="K14" s="165">
        <f>SUM(F14:J14)</f>
        <v>1</v>
      </c>
      <c r="L14" s="372">
        <f>+Fordelingsnøgler!B31</f>
        <v>0</v>
      </c>
    </row>
    <row r="15" spans="1:12" ht="12.75" customHeight="1">
      <c r="A15" s="145"/>
      <c r="B15" s="47"/>
      <c r="E15" s="145"/>
      <c r="F15" s="145"/>
      <c r="J15" s="229"/>
      <c r="K15" s="229"/>
      <c r="L15" s="229"/>
    </row>
    <row r="16" spans="1:12">
      <c r="A16" s="145"/>
      <c r="B16" s="47" t="s">
        <v>223</v>
      </c>
      <c r="C16" s="250"/>
      <c r="E16" s="356" t="s">
        <v>165</v>
      </c>
      <c r="F16" s="357">
        <f>+F89/$C89</f>
        <v>0</v>
      </c>
      <c r="G16" s="358">
        <f t="shared" ref="G16:J16" si="0">+G89/$C89</f>
        <v>0</v>
      </c>
      <c r="H16" s="358">
        <f t="shared" si="0"/>
        <v>0</v>
      </c>
      <c r="I16" s="358">
        <f t="shared" si="0"/>
        <v>0</v>
      </c>
      <c r="J16" s="359">
        <f t="shared" si="0"/>
        <v>0</v>
      </c>
      <c r="K16" s="360">
        <f>SUM(F16:J16)</f>
        <v>0</v>
      </c>
      <c r="L16" s="397" t="s">
        <v>269</v>
      </c>
    </row>
    <row r="17" spans="1:12">
      <c r="A17" s="145"/>
      <c r="B17" s="47" t="s">
        <v>71</v>
      </c>
      <c r="C17" s="250"/>
      <c r="E17" s="145"/>
      <c r="F17" s="145"/>
      <c r="J17" s="229"/>
      <c r="K17" s="229"/>
      <c r="L17" s="229"/>
    </row>
    <row r="18" spans="1:12">
      <c r="A18" s="145"/>
      <c r="B18" s="47" t="s">
        <v>224</v>
      </c>
      <c r="C18" s="251"/>
      <c r="E18" s="378"/>
      <c r="F18" s="233"/>
      <c r="G18" s="237"/>
      <c r="H18" s="237"/>
      <c r="I18" s="237"/>
      <c r="J18" s="234"/>
      <c r="K18" s="234"/>
      <c r="L18" s="234"/>
    </row>
    <row r="19" spans="1:12">
      <c r="A19" s="145"/>
      <c r="E19" s="46" t="s">
        <v>67</v>
      </c>
      <c r="F19" s="41" t="s">
        <v>192</v>
      </c>
      <c r="G19" s="42" t="s">
        <v>194</v>
      </c>
      <c r="H19" s="42" t="s">
        <v>195</v>
      </c>
      <c r="I19" s="42" t="s">
        <v>196</v>
      </c>
      <c r="J19" s="43" t="s">
        <v>197</v>
      </c>
      <c r="K19" s="45" t="s">
        <v>68</v>
      </c>
      <c r="L19" s="141"/>
    </row>
    <row r="20" spans="1:12" ht="24">
      <c r="A20" s="252" t="s">
        <v>185</v>
      </c>
      <c r="B20" s="253" t="str">
        <f>IF(C13="Takstberegning","Budget",IF(C13="Efterkalkulation","Regnskab","om igen"))</f>
        <v>om igen</v>
      </c>
      <c r="C20" s="254">
        <f>+C14</f>
        <v>0</v>
      </c>
      <c r="D20" s="255" t="s">
        <v>225</v>
      </c>
      <c r="E20" s="46" t="s">
        <v>65</v>
      </c>
      <c r="F20" s="46" t="str">
        <f>+Forside!I17</f>
        <v/>
      </c>
      <c r="G20" s="44" t="str">
        <f>+Forside!I18</f>
        <v/>
      </c>
      <c r="H20" s="44" t="str">
        <f>+Forside!I19</f>
        <v/>
      </c>
      <c r="I20" s="44" t="str">
        <f>+Forside!I20</f>
        <v/>
      </c>
      <c r="J20" s="45" t="str">
        <f>+Forside!I21</f>
        <v/>
      </c>
      <c r="K20" s="45" t="s">
        <v>24</v>
      </c>
      <c r="L20" s="140" t="s">
        <v>69</v>
      </c>
    </row>
    <row r="21" spans="1:12" ht="29.25" customHeight="1">
      <c r="A21" s="405" t="s">
        <v>226</v>
      </c>
      <c r="B21" s="409"/>
      <c r="C21" s="148"/>
      <c r="E21" s="119"/>
      <c r="F21" s="102"/>
      <c r="G21" s="103"/>
      <c r="H21" s="103"/>
      <c r="I21" s="103"/>
      <c r="J21" s="120"/>
      <c r="K21" s="120"/>
      <c r="L21" s="121"/>
    </row>
    <row r="22" spans="1:12">
      <c r="A22" s="145"/>
      <c r="B22" s="3" t="s">
        <v>95</v>
      </c>
      <c r="C22" s="34"/>
      <c r="E22" s="121"/>
      <c r="F22" s="104"/>
      <c r="G22" s="105"/>
      <c r="H22" s="105"/>
      <c r="I22" s="105"/>
      <c r="J22" s="106"/>
      <c r="K22" s="106"/>
      <c r="L22" s="121"/>
    </row>
    <row r="23" spans="1:12">
      <c r="A23" s="145"/>
      <c r="B23" s="146" t="s">
        <v>227</v>
      </c>
      <c r="C23" s="245">
        <v>1.0000000000000001E-5</v>
      </c>
      <c r="E23" s="398"/>
      <c r="F23" s="104" t="str">
        <f>IF($E23&lt;&gt;"",(VLOOKUP($E23,$E$9:$J$14,2))*$C23,"")</f>
        <v/>
      </c>
      <c r="G23" s="105" t="str">
        <f>IF($E23&lt;&gt;"",(VLOOKUP($E23,$E$9:$J$14,3))*$C23,"")</f>
        <v/>
      </c>
      <c r="H23" s="105" t="str">
        <f>IF($E23&lt;&gt;"",(VLOOKUP($E23,$E$9:$J$14,4))*$C23,"")</f>
        <v/>
      </c>
      <c r="I23" s="105" t="str">
        <f>IF($E23&lt;&gt;"",(VLOOKUP($E23,$E$9:$J$14,5))*$C23,"")</f>
        <v/>
      </c>
      <c r="J23" s="106" t="str">
        <f>IF($E23&lt;&gt;"",(VLOOKUP($E23,$E$9:$J$14,6))*$C23,"")</f>
        <v/>
      </c>
      <c r="K23" s="106">
        <f t="shared" ref="K23:K28" si="1">SUM(F23:J23)</f>
        <v>0</v>
      </c>
      <c r="L23" s="121">
        <f t="shared" ref="L23:L28" si="2">+C23-K23</f>
        <v>1.0000000000000001E-5</v>
      </c>
    </row>
    <row r="24" spans="1:12">
      <c r="A24" s="145"/>
      <c r="B24" s="146" t="s">
        <v>0</v>
      </c>
      <c r="C24" s="245"/>
      <c r="E24" s="398"/>
      <c r="F24" s="104" t="str">
        <f t="shared" ref="F24:F38" si="3">IF($E24&lt;&gt;"",(VLOOKUP($E24,$E$9:$J$14,2))*$C24,"")</f>
        <v/>
      </c>
      <c r="G24" s="105" t="str">
        <f t="shared" ref="G24:G38" si="4">IF($E24&lt;&gt;"",(VLOOKUP($E24,$E$9:$J$14,3))*$C24,"")</f>
        <v/>
      </c>
      <c r="H24" s="105" t="str">
        <f t="shared" ref="H24:H38" si="5">IF($E24&lt;&gt;"",(VLOOKUP($E24,$E$9:$J$14,4))*$C24,"")</f>
        <v/>
      </c>
      <c r="I24" s="105" t="str">
        <f t="shared" ref="I24:I38" si="6">IF($E24&lt;&gt;"",(VLOOKUP($E24,$E$9:$J$14,5))*$C24,"")</f>
        <v/>
      </c>
      <c r="J24" s="106" t="str">
        <f>IF($E24&lt;&gt;"",(VLOOKUP($E24,$E$9:$J$14,6))*$C24,"")</f>
        <v/>
      </c>
      <c r="K24" s="106">
        <f t="shared" si="1"/>
        <v>0</v>
      </c>
      <c r="L24" s="121">
        <f t="shared" si="2"/>
        <v>0</v>
      </c>
    </row>
    <row r="25" spans="1:12">
      <c r="A25" s="145"/>
      <c r="B25" s="146" t="s">
        <v>204</v>
      </c>
      <c r="C25" s="245"/>
      <c r="E25" s="398"/>
      <c r="F25" s="104" t="str">
        <f t="shared" si="3"/>
        <v/>
      </c>
      <c r="G25" s="105" t="str">
        <f t="shared" si="4"/>
        <v/>
      </c>
      <c r="H25" s="105" t="str">
        <f t="shared" si="5"/>
        <v/>
      </c>
      <c r="I25" s="105" t="str">
        <f t="shared" si="6"/>
        <v/>
      </c>
      <c r="J25" s="106" t="str">
        <f t="shared" ref="J25:J38" si="7">IF($E25&lt;&gt;"",(VLOOKUP($E25,$E$9:$J$14,6))*$C25,"")</f>
        <v/>
      </c>
      <c r="K25" s="106">
        <f t="shared" si="1"/>
        <v>0</v>
      </c>
      <c r="L25" s="121">
        <f t="shared" si="2"/>
        <v>0</v>
      </c>
    </row>
    <row r="26" spans="1:12">
      <c r="A26" s="145"/>
      <c r="B26" s="146" t="s">
        <v>1</v>
      </c>
      <c r="C26" s="245"/>
      <c r="E26" s="398"/>
      <c r="F26" s="104" t="str">
        <f t="shared" si="3"/>
        <v/>
      </c>
      <c r="G26" s="105" t="str">
        <f t="shared" si="4"/>
        <v/>
      </c>
      <c r="H26" s="105" t="str">
        <f t="shared" si="5"/>
        <v/>
      </c>
      <c r="I26" s="105" t="str">
        <f t="shared" si="6"/>
        <v/>
      </c>
      <c r="J26" s="106" t="str">
        <f t="shared" si="7"/>
        <v/>
      </c>
      <c r="K26" s="106">
        <f t="shared" si="1"/>
        <v>0</v>
      </c>
      <c r="L26" s="121">
        <f t="shared" si="2"/>
        <v>0</v>
      </c>
    </row>
    <row r="27" spans="1:12">
      <c r="A27" s="145"/>
      <c r="B27" s="146" t="s">
        <v>10</v>
      </c>
      <c r="C27" s="245"/>
      <c r="E27" s="398"/>
      <c r="F27" s="104" t="str">
        <f t="shared" si="3"/>
        <v/>
      </c>
      <c r="G27" s="105" t="str">
        <f t="shared" si="4"/>
        <v/>
      </c>
      <c r="H27" s="105" t="str">
        <f t="shared" si="5"/>
        <v/>
      </c>
      <c r="I27" s="105" t="str">
        <f t="shared" si="6"/>
        <v/>
      </c>
      <c r="J27" s="106" t="str">
        <f t="shared" si="7"/>
        <v/>
      </c>
      <c r="K27" s="106">
        <f t="shared" si="1"/>
        <v>0</v>
      </c>
      <c r="L27" s="121">
        <f t="shared" si="2"/>
        <v>0</v>
      </c>
    </row>
    <row r="28" spans="1:12">
      <c r="A28" s="145"/>
      <c r="B28" s="146" t="s">
        <v>160</v>
      </c>
      <c r="C28" s="245"/>
      <c r="E28" s="398"/>
      <c r="F28" s="104" t="str">
        <f t="shared" si="3"/>
        <v/>
      </c>
      <c r="G28" s="105" t="str">
        <f t="shared" si="4"/>
        <v/>
      </c>
      <c r="H28" s="105" t="str">
        <f t="shared" si="5"/>
        <v/>
      </c>
      <c r="I28" s="105" t="str">
        <f t="shared" si="6"/>
        <v/>
      </c>
      <c r="J28" s="106" t="str">
        <f t="shared" si="7"/>
        <v/>
      </c>
      <c r="K28" s="106">
        <f t="shared" si="1"/>
        <v>0</v>
      </c>
      <c r="L28" s="121">
        <f t="shared" si="2"/>
        <v>0</v>
      </c>
    </row>
    <row r="29" spans="1:12">
      <c r="A29" s="145"/>
      <c r="B29" s="3" t="s">
        <v>13</v>
      </c>
      <c r="C29" s="34"/>
      <c r="E29" s="122"/>
      <c r="F29" s="104" t="str">
        <f t="shared" si="3"/>
        <v/>
      </c>
      <c r="G29" s="105" t="str">
        <f t="shared" si="4"/>
        <v/>
      </c>
      <c r="H29" s="105" t="str">
        <f t="shared" si="5"/>
        <v/>
      </c>
      <c r="I29" s="105" t="str">
        <f t="shared" si="6"/>
        <v/>
      </c>
      <c r="J29" s="106" t="str">
        <f t="shared" si="7"/>
        <v/>
      </c>
      <c r="K29" s="106"/>
      <c r="L29" s="121"/>
    </row>
    <row r="30" spans="1:12">
      <c r="A30" s="145"/>
      <c r="B30" s="146" t="s">
        <v>2</v>
      </c>
      <c r="C30" s="245"/>
      <c r="E30" s="398"/>
      <c r="F30" s="104" t="str">
        <f t="shared" si="3"/>
        <v/>
      </c>
      <c r="G30" s="105" t="str">
        <f t="shared" si="4"/>
        <v/>
      </c>
      <c r="H30" s="105" t="str">
        <f t="shared" si="5"/>
        <v/>
      </c>
      <c r="I30" s="105" t="str">
        <f t="shared" si="6"/>
        <v/>
      </c>
      <c r="J30" s="106" t="str">
        <f t="shared" si="7"/>
        <v/>
      </c>
      <c r="K30" s="106">
        <f t="shared" ref="K30:K37" si="8">SUM(F30:J30)</f>
        <v>0</v>
      </c>
      <c r="L30" s="121">
        <f t="shared" ref="L30:L37" si="9">+C30-K30</f>
        <v>0</v>
      </c>
    </row>
    <row r="31" spans="1:12">
      <c r="A31" s="145"/>
      <c r="B31" s="146" t="s">
        <v>3</v>
      </c>
      <c r="C31" s="245"/>
      <c r="E31" s="398"/>
      <c r="F31" s="104" t="str">
        <f t="shared" si="3"/>
        <v/>
      </c>
      <c r="G31" s="105" t="str">
        <f t="shared" si="4"/>
        <v/>
      </c>
      <c r="H31" s="105" t="str">
        <f t="shared" si="5"/>
        <v/>
      </c>
      <c r="I31" s="105" t="str">
        <f t="shared" si="6"/>
        <v/>
      </c>
      <c r="J31" s="106" t="str">
        <f t="shared" si="7"/>
        <v/>
      </c>
      <c r="K31" s="106">
        <f t="shared" si="8"/>
        <v>0</v>
      </c>
      <c r="L31" s="121">
        <f t="shared" si="9"/>
        <v>0</v>
      </c>
    </row>
    <row r="32" spans="1:12">
      <c r="A32" s="145"/>
      <c r="B32" s="146" t="s">
        <v>107</v>
      </c>
      <c r="C32" s="245"/>
      <c r="E32" s="398"/>
      <c r="F32" s="104" t="str">
        <f t="shared" si="3"/>
        <v/>
      </c>
      <c r="G32" s="105" t="str">
        <f t="shared" si="4"/>
        <v/>
      </c>
      <c r="H32" s="105" t="str">
        <f t="shared" si="5"/>
        <v/>
      </c>
      <c r="I32" s="105" t="str">
        <f t="shared" si="6"/>
        <v/>
      </c>
      <c r="J32" s="106" t="str">
        <f t="shared" si="7"/>
        <v/>
      </c>
      <c r="K32" s="106">
        <f t="shared" si="8"/>
        <v>0</v>
      </c>
      <c r="L32" s="121">
        <f t="shared" si="9"/>
        <v>0</v>
      </c>
    </row>
    <row r="33" spans="1:12">
      <c r="A33" s="145"/>
      <c r="B33" s="146" t="s">
        <v>4</v>
      </c>
      <c r="C33" s="245"/>
      <c r="E33" s="398"/>
      <c r="F33" s="104" t="str">
        <f t="shared" si="3"/>
        <v/>
      </c>
      <c r="G33" s="105" t="str">
        <f t="shared" si="4"/>
        <v/>
      </c>
      <c r="H33" s="105" t="str">
        <f t="shared" si="5"/>
        <v/>
      </c>
      <c r="I33" s="105" t="str">
        <f t="shared" si="6"/>
        <v/>
      </c>
      <c r="J33" s="106" t="str">
        <f t="shared" si="7"/>
        <v/>
      </c>
      <c r="K33" s="106">
        <f t="shared" si="8"/>
        <v>0</v>
      </c>
      <c r="L33" s="121">
        <f t="shared" si="9"/>
        <v>0</v>
      </c>
    </row>
    <row r="34" spans="1:12">
      <c r="A34" s="145"/>
      <c r="B34" s="146" t="s">
        <v>5</v>
      </c>
      <c r="C34" s="245"/>
      <c r="E34" s="398"/>
      <c r="F34" s="104" t="str">
        <f t="shared" si="3"/>
        <v/>
      </c>
      <c r="G34" s="105" t="str">
        <f t="shared" si="4"/>
        <v/>
      </c>
      <c r="H34" s="105" t="str">
        <f t="shared" si="5"/>
        <v/>
      </c>
      <c r="I34" s="105" t="str">
        <f t="shared" si="6"/>
        <v/>
      </c>
      <c r="J34" s="106" t="str">
        <f t="shared" si="7"/>
        <v/>
      </c>
      <c r="K34" s="106">
        <f t="shared" si="8"/>
        <v>0</v>
      </c>
      <c r="L34" s="121">
        <f t="shared" si="9"/>
        <v>0</v>
      </c>
    </row>
    <row r="35" spans="1:12">
      <c r="A35" s="145"/>
      <c r="B35" s="146" t="s">
        <v>228</v>
      </c>
      <c r="C35" s="245"/>
      <c r="E35" s="398"/>
      <c r="F35" s="104" t="str">
        <f t="shared" si="3"/>
        <v/>
      </c>
      <c r="G35" s="105" t="str">
        <f t="shared" si="4"/>
        <v/>
      </c>
      <c r="H35" s="105" t="str">
        <f t="shared" si="5"/>
        <v/>
      </c>
      <c r="I35" s="105" t="str">
        <f t="shared" si="6"/>
        <v/>
      </c>
      <c r="J35" s="106" t="str">
        <f t="shared" si="7"/>
        <v/>
      </c>
      <c r="K35" s="106">
        <f t="shared" si="8"/>
        <v>0</v>
      </c>
      <c r="L35" s="121">
        <f t="shared" si="9"/>
        <v>0</v>
      </c>
    </row>
    <row r="36" spans="1:12">
      <c r="A36" s="145"/>
      <c r="B36" s="146" t="s">
        <v>228</v>
      </c>
      <c r="C36" s="245"/>
      <c r="E36" s="398"/>
      <c r="F36" s="104" t="str">
        <f t="shared" si="3"/>
        <v/>
      </c>
      <c r="G36" s="105" t="str">
        <f t="shared" si="4"/>
        <v/>
      </c>
      <c r="H36" s="105" t="str">
        <f t="shared" si="5"/>
        <v/>
      </c>
      <c r="I36" s="105" t="str">
        <f t="shared" si="6"/>
        <v/>
      </c>
      <c r="J36" s="106" t="str">
        <f t="shared" si="7"/>
        <v/>
      </c>
      <c r="K36" s="106">
        <f t="shared" si="8"/>
        <v>0</v>
      </c>
      <c r="L36" s="121">
        <f t="shared" si="9"/>
        <v>0</v>
      </c>
    </row>
    <row r="37" spans="1:12">
      <c r="A37" s="145"/>
      <c r="B37" s="146" t="s">
        <v>228</v>
      </c>
      <c r="C37" s="245"/>
      <c r="E37" s="398"/>
      <c r="F37" s="104" t="str">
        <f t="shared" si="3"/>
        <v/>
      </c>
      <c r="G37" s="105" t="str">
        <f t="shared" si="4"/>
        <v/>
      </c>
      <c r="H37" s="105" t="str">
        <f t="shared" si="5"/>
        <v/>
      </c>
      <c r="I37" s="105" t="str">
        <f t="shared" si="6"/>
        <v/>
      </c>
      <c r="J37" s="106" t="str">
        <f t="shared" si="7"/>
        <v/>
      </c>
      <c r="K37" s="106">
        <f t="shared" si="8"/>
        <v>0</v>
      </c>
      <c r="L37" s="121">
        <f t="shared" si="9"/>
        <v>0</v>
      </c>
    </row>
    <row r="38" spans="1:12">
      <c r="A38" s="145"/>
      <c r="C38" s="148"/>
      <c r="E38" s="122"/>
      <c r="F38" s="104" t="str">
        <f t="shared" si="3"/>
        <v/>
      </c>
      <c r="G38" s="105" t="str">
        <f t="shared" si="4"/>
        <v/>
      </c>
      <c r="H38" s="105" t="str">
        <f t="shared" si="5"/>
        <v/>
      </c>
      <c r="I38" s="105" t="str">
        <f t="shared" si="6"/>
        <v/>
      </c>
      <c r="J38" s="106" t="str">
        <f t="shared" si="7"/>
        <v/>
      </c>
      <c r="K38" s="106"/>
      <c r="L38" s="121"/>
    </row>
    <row r="39" spans="1:12">
      <c r="A39" s="256"/>
      <c r="B39" s="166" t="s">
        <v>24</v>
      </c>
      <c r="C39" s="257">
        <f>SUM(C23:C37)</f>
        <v>1.0000000000000001E-5</v>
      </c>
      <c r="D39" s="325"/>
      <c r="E39" s="326"/>
      <c r="F39" s="379">
        <f t="shared" ref="F39:J39" si="10">SUM(F23:F37)</f>
        <v>0</v>
      </c>
      <c r="G39" s="327">
        <f t="shared" si="10"/>
        <v>0</v>
      </c>
      <c r="H39" s="327">
        <f t="shared" si="10"/>
        <v>0</v>
      </c>
      <c r="I39" s="327">
        <f t="shared" si="10"/>
        <v>0</v>
      </c>
      <c r="J39" s="329">
        <f t="shared" si="10"/>
        <v>0</v>
      </c>
      <c r="K39" s="167">
        <f>SUM(F39:J39)</f>
        <v>0</v>
      </c>
      <c r="L39" s="330">
        <f>+C39-K39</f>
        <v>1.0000000000000001E-5</v>
      </c>
    </row>
    <row r="40" spans="1:12" ht="40.5" customHeight="1">
      <c r="A40" s="405" t="s">
        <v>229</v>
      </c>
      <c r="B40" s="409"/>
      <c r="C40" s="258"/>
      <c r="E40" s="122"/>
      <c r="F40" s="104"/>
      <c r="G40" s="105"/>
      <c r="H40" s="105"/>
      <c r="I40" s="105"/>
      <c r="J40" s="106"/>
      <c r="K40" s="106"/>
      <c r="L40" s="121"/>
    </row>
    <row r="41" spans="1:12">
      <c r="A41" s="145"/>
      <c r="B41" s="146" t="s">
        <v>230</v>
      </c>
      <c r="C41" s="245"/>
      <c r="E41" s="398"/>
      <c r="F41" s="104" t="str">
        <f t="shared" ref="F41:F42" si="11">IF($E41&lt;&gt;"",(VLOOKUP($E41,$E$9:$J$14,2))*$C41,"")</f>
        <v/>
      </c>
      <c r="G41" s="105" t="str">
        <f>IF($E41&lt;&gt;"",(VLOOKUP($E41,$E$9:$J$14,3))*$C41,"")</f>
        <v/>
      </c>
      <c r="H41" s="105" t="str">
        <f t="shared" ref="H41:H42" si="12">IF($E41&lt;&gt;"",(VLOOKUP($E41,$E$9:$J$14,4))*$C41,"")</f>
        <v/>
      </c>
      <c r="I41" s="105" t="str">
        <f t="shared" ref="I41:I42" si="13">IF($E41&lt;&gt;"",(VLOOKUP($E41,$E$9:$J$14,5))*$C41,"")</f>
        <v/>
      </c>
      <c r="J41" s="106" t="str">
        <f t="shared" ref="J41:J42" si="14">IF($E41&lt;&gt;"",(VLOOKUP($E41,$E$9:$J$14,6))*$C41,"")</f>
        <v/>
      </c>
      <c r="K41" s="106">
        <f>SUM(F41:J41)</f>
        <v>0</v>
      </c>
      <c r="L41" s="121">
        <f>+C41-K41</f>
        <v>0</v>
      </c>
    </row>
    <row r="42" spans="1:12">
      <c r="A42" s="145"/>
      <c r="B42" s="146" t="s">
        <v>6</v>
      </c>
      <c r="C42" s="245"/>
      <c r="E42" s="398"/>
      <c r="F42" s="104" t="str">
        <f t="shared" si="11"/>
        <v/>
      </c>
      <c r="G42" s="105" t="str">
        <f t="shared" ref="G42" si="15">IF($E42&lt;&gt;"",(VLOOKUP($E42,$E$9:$J$14,3))*$C42,"")</f>
        <v/>
      </c>
      <c r="H42" s="105" t="str">
        <f t="shared" si="12"/>
        <v/>
      </c>
      <c r="I42" s="105" t="str">
        <f t="shared" si="13"/>
        <v/>
      </c>
      <c r="J42" s="106" t="str">
        <f t="shared" si="14"/>
        <v/>
      </c>
      <c r="K42" s="106">
        <f>SUM(F42:J42)</f>
        <v>0</v>
      </c>
      <c r="L42" s="121">
        <f>+C42-K42</f>
        <v>0</v>
      </c>
    </row>
    <row r="43" spans="1:12">
      <c r="A43" s="145"/>
      <c r="C43" s="148"/>
      <c r="E43" s="122"/>
      <c r="F43" s="104"/>
      <c r="G43" s="105"/>
      <c r="H43" s="105"/>
      <c r="I43" s="105"/>
      <c r="J43" s="106"/>
      <c r="K43" s="106"/>
      <c r="L43" s="121"/>
    </row>
    <row r="44" spans="1:12">
      <c r="A44" s="256"/>
      <c r="B44" s="166" t="s">
        <v>24</v>
      </c>
      <c r="C44" s="257">
        <f>SUM(C41:C42)</f>
        <v>0</v>
      </c>
      <c r="D44" s="325"/>
      <c r="E44" s="326"/>
      <c r="F44" s="379">
        <f>SUM(F41:F43)</f>
        <v>0</v>
      </c>
      <c r="G44" s="327">
        <f t="shared" ref="G44:J44" si="16">SUM(G41:G43)</f>
        <v>0</v>
      </c>
      <c r="H44" s="327">
        <f t="shared" si="16"/>
        <v>0</v>
      </c>
      <c r="I44" s="327">
        <f t="shared" si="16"/>
        <v>0</v>
      </c>
      <c r="J44" s="329">
        <f t="shared" si="16"/>
        <v>0</v>
      </c>
      <c r="K44" s="167">
        <f>SUM(F44:J44)</f>
        <v>0</v>
      </c>
      <c r="L44" s="330">
        <f>+C44-K44</f>
        <v>0</v>
      </c>
    </row>
    <row r="45" spans="1:12" ht="27.75" customHeight="1">
      <c r="A45" s="405" t="s">
        <v>306</v>
      </c>
      <c r="B45" s="409"/>
      <c r="C45" s="258"/>
      <c r="E45" s="119"/>
      <c r="F45" s="145"/>
      <c r="J45" s="229"/>
      <c r="K45" s="120"/>
      <c r="L45" s="121"/>
    </row>
    <row r="46" spans="1:12">
      <c r="A46" s="145"/>
      <c r="B46" s="3" t="s">
        <v>87</v>
      </c>
      <c r="C46" s="34"/>
      <c r="E46" s="121"/>
      <c r="F46" s="145"/>
      <c r="J46" s="229"/>
      <c r="K46" s="106"/>
      <c r="L46" s="121"/>
    </row>
    <row r="47" spans="1:12">
      <c r="A47" s="145"/>
      <c r="B47" s="146" t="s">
        <v>7</v>
      </c>
      <c r="C47" s="245"/>
      <c r="E47" s="398"/>
      <c r="F47" s="104" t="str">
        <f t="shared" ref="F47:F50" si="17">IF($E47&lt;&gt;"",(VLOOKUP($E47,$E$9:$J$14,2))*$C47,"")</f>
        <v/>
      </c>
      <c r="G47" s="105" t="str">
        <f t="shared" ref="G47:G50" si="18">IF($E47&lt;&gt;"",(VLOOKUP($E47,$E$9:$J$14,3))*$C47,"")</f>
        <v/>
      </c>
      <c r="H47" s="105" t="str">
        <f t="shared" ref="H47:H50" si="19">IF($E47&lt;&gt;"",(VLOOKUP($E47,$E$9:$J$14,4))*$C47,"")</f>
        <v/>
      </c>
      <c r="I47" s="105" t="str">
        <f t="shared" ref="I47:I50" si="20">IF($E47&lt;&gt;"",(VLOOKUP($E47,$E$9:$J$14,5))*$C47,"")</f>
        <v/>
      </c>
      <c r="J47" s="106" t="str">
        <f t="shared" ref="J47:J50" si="21">IF($E47&lt;&gt;"",(VLOOKUP($E47,$E$9:$J$14,6))*$C47,"")</f>
        <v/>
      </c>
      <c r="K47" s="106">
        <f>SUM(F47:J47)</f>
        <v>0</v>
      </c>
      <c r="L47" s="121">
        <f>+C47-K47</f>
        <v>0</v>
      </c>
    </row>
    <row r="48" spans="1:12">
      <c r="A48" s="145"/>
      <c r="B48" s="146" t="s">
        <v>10</v>
      </c>
      <c r="C48" s="245"/>
      <c r="E48" s="398"/>
      <c r="F48" s="104" t="str">
        <f t="shared" si="17"/>
        <v/>
      </c>
      <c r="G48" s="105" t="str">
        <f t="shared" si="18"/>
        <v/>
      </c>
      <c r="H48" s="105" t="str">
        <f t="shared" si="19"/>
        <v/>
      </c>
      <c r="I48" s="105" t="str">
        <f t="shared" si="20"/>
        <v/>
      </c>
      <c r="J48" s="106" t="str">
        <f t="shared" si="21"/>
        <v/>
      </c>
      <c r="K48" s="106">
        <f>SUM(F48:J48)</f>
        <v>0</v>
      </c>
      <c r="L48" s="121">
        <f>+C48-K48</f>
        <v>0</v>
      </c>
    </row>
    <row r="49" spans="1:12">
      <c r="A49" s="145"/>
      <c r="B49" s="146" t="s">
        <v>8</v>
      </c>
      <c r="C49" s="245"/>
      <c r="E49" s="398"/>
      <c r="F49" s="104" t="str">
        <f t="shared" si="17"/>
        <v/>
      </c>
      <c r="G49" s="105" t="str">
        <f t="shared" si="18"/>
        <v/>
      </c>
      <c r="H49" s="105" t="str">
        <f t="shared" si="19"/>
        <v/>
      </c>
      <c r="I49" s="105" t="str">
        <f t="shared" si="20"/>
        <v/>
      </c>
      <c r="J49" s="106" t="str">
        <f t="shared" si="21"/>
        <v/>
      </c>
      <c r="K49" s="106">
        <f>SUM(F49:J49)</f>
        <v>0</v>
      </c>
      <c r="L49" s="121">
        <f>+C49-K49</f>
        <v>0</v>
      </c>
    </row>
    <row r="50" spans="1:12">
      <c r="A50" s="145"/>
      <c r="B50" s="146" t="s">
        <v>9</v>
      </c>
      <c r="C50" s="245"/>
      <c r="E50" s="398"/>
      <c r="F50" s="104" t="str">
        <f t="shared" si="17"/>
        <v/>
      </c>
      <c r="G50" s="105" t="str">
        <f t="shared" si="18"/>
        <v/>
      </c>
      <c r="H50" s="105" t="str">
        <f t="shared" si="19"/>
        <v/>
      </c>
      <c r="I50" s="105" t="str">
        <f t="shared" si="20"/>
        <v/>
      </c>
      <c r="J50" s="106" t="str">
        <f t="shared" si="21"/>
        <v/>
      </c>
      <c r="K50" s="106">
        <f>SUM(F50:J50)</f>
        <v>0</v>
      </c>
      <c r="L50" s="121">
        <f>+C50-K50</f>
        <v>0</v>
      </c>
    </row>
    <row r="51" spans="1:12">
      <c r="A51" s="145"/>
      <c r="C51" s="148"/>
      <c r="E51" s="122"/>
      <c r="F51" s="104"/>
      <c r="G51" s="105"/>
      <c r="H51" s="105"/>
      <c r="I51" s="105"/>
      <c r="J51" s="106"/>
      <c r="K51" s="106"/>
      <c r="L51" s="121"/>
    </row>
    <row r="52" spans="1:12">
      <c r="A52" s="256"/>
      <c r="B52" s="166" t="s">
        <v>24</v>
      </c>
      <c r="C52" s="257">
        <f>SUM(C46:C51)</f>
        <v>0</v>
      </c>
      <c r="D52" s="325"/>
      <c r="E52" s="326"/>
      <c r="F52" s="379">
        <f>SUM(F47:F51)</f>
        <v>0</v>
      </c>
      <c r="G52" s="327">
        <f t="shared" ref="G52:J52" si="22">SUM(G47:G51)</f>
        <v>0</v>
      </c>
      <c r="H52" s="327">
        <f t="shared" si="22"/>
        <v>0</v>
      </c>
      <c r="I52" s="327">
        <f t="shared" si="22"/>
        <v>0</v>
      </c>
      <c r="J52" s="329">
        <f t="shared" si="22"/>
        <v>0</v>
      </c>
      <c r="K52" s="167">
        <f>SUM(F52:J52)</f>
        <v>0</v>
      </c>
      <c r="L52" s="330">
        <f>+C52-K52</f>
        <v>0</v>
      </c>
    </row>
    <row r="53" spans="1:12" ht="27" customHeight="1">
      <c r="A53" s="405" t="s">
        <v>231</v>
      </c>
      <c r="B53" s="409"/>
      <c r="C53" s="258"/>
      <c r="E53" s="119"/>
      <c r="F53" s="145"/>
      <c r="J53" s="229"/>
      <c r="K53" s="120"/>
      <c r="L53" s="121"/>
    </row>
    <row r="54" spans="1:12">
      <c r="A54" s="145"/>
      <c r="B54" s="146" t="s">
        <v>232</v>
      </c>
      <c r="C54" s="245"/>
      <c r="E54" s="398"/>
      <c r="F54" s="104" t="str">
        <f t="shared" ref="F54:F55" si="23">IF($E54&lt;&gt;"",(VLOOKUP($E54,$E$9:$J$14,2))*$C54,"")</f>
        <v/>
      </c>
      <c r="G54" s="105" t="str">
        <f t="shared" ref="G54:G55" si="24">IF($E54&lt;&gt;"",(VLOOKUP($E54,$E$9:$J$14,3))*$C54,"")</f>
        <v/>
      </c>
      <c r="H54" s="105" t="str">
        <f t="shared" ref="H54:H55" si="25">IF($E54&lt;&gt;"",(VLOOKUP($E54,$E$9:$J$14,4))*$C54,"")</f>
        <v/>
      </c>
      <c r="I54" s="105" t="str">
        <f t="shared" ref="I54:I55" si="26">IF($E54&lt;&gt;"",(VLOOKUP($E54,$E$9:$J$14,5))*$C54,"")</f>
        <v/>
      </c>
      <c r="J54" s="106" t="str">
        <f t="shared" ref="J54:J55" si="27">IF($E54&lt;&gt;"",(VLOOKUP($E54,$E$9:$J$14,6))*$C54,"")</f>
        <v/>
      </c>
      <c r="K54" s="106">
        <f>SUM(F54:J54)</f>
        <v>0</v>
      </c>
      <c r="L54" s="121">
        <f>+C54-K54</f>
        <v>0</v>
      </c>
    </row>
    <row r="55" spans="1:12">
      <c r="A55" s="145"/>
      <c r="B55" s="146" t="s">
        <v>233</v>
      </c>
      <c r="C55" s="245"/>
      <c r="D55" s="321"/>
      <c r="E55" s="398"/>
      <c r="F55" s="104" t="str">
        <f t="shared" si="23"/>
        <v/>
      </c>
      <c r="G55" s="105" t="str">
        <f t="shared" si="24"/>
        <v/>
      </c>
      <c r="H55" s="105" t="str">
        <f t="shared" si="25"/>
        <v/>
      </c>
      <c r="I55" s="105" t="str">
        <f t="shared" si="26"/>
        <v/>
      </c>
      <c r="J55" s="106" t="str">
        <f t="shared" si="27"/>
        <v/>
      </c>
      <c r="K55" s="106">
        <f>SUM(F55:J55)</f>
        <v>0</v>
      </c>
      <c r="L55" s="121">
        <f>+C55-K55</f>
        <v>0</v>
      </c>
    </row>
    <row r="56" spans="1:12">
      <c r="A56" s="145"/>
      <c r="C56" s="148"/>
      <c r="E56" s="122"/>
      <c r="F56" s="104"/>
      <c r="G56" s="105"/>
      <c r="H56" s="105"/>
      <c r="I56" s="105"/>
      <c r="J56" s="106"/>
      <c r="K56" s="106"/>
      <c r="L56" s="121"/>
    </row>
    <row r="57" spans="1:12">
      <c r="A57" s="256"/>
      <c r="B57" s="166" t="s">
        <v>24</v>
      </c>
      <c r="C57" s="257">
        <f>SUM(C54:C56)</f>
        <v>0</v>
      </c>
      <c r="D57" s="325"/>
      <c r="E57" s="326"/>
      <c r="F57" s="379">
        <f>SUM(F54:F56)</f>
        <v>0</v>
      </c>
      <c r="G57" s="327">
        <f t="shared" ref="G57" si="28">SUM(G54:G56)</f>
        <v>0</v>
      </c>
      <c r="H57" s="327">
        <f t="shared" ref="H57" si="29">SUM(H54:H56)</f>
        <v>0</v>
      </c>
      <c r="I57" s="327">
        <f t="shared" ref="I57" si="30">SUM(I54:I56)</f>
        <v>0</v>
      </c>
      <c r="J57" s="329">
        <f t="shared" ref="J57" si="31">SUM(J54:J56)</f>
        <v>0</v>
      </c>
      <c r="K57" s="167">
        <f>SUM(F57:J57)</f>
        <v>0</v>
      </c>
      <c r="L57" s="330">
        <f>+C57-K57</f>
        <v>0</v>
      </c>
    </row>
    <row r="58" spans="1:12" ht="15" customHeight="1">
      <c r="A58" s="405" t="s">
        <v>11</v>
      </c>
      <c r="B58" s="409"/>
      <c r="C58" s="258"/>
      <c r="E58" s="119"/>
      <c r="F58" s="145"/>
      <c r="J58" s="229"/>
      <c r="K58" s="120"/>
      <c r="L58" s="121"/>
    </row>
    <row r="59" spans="1:12">
      <c r="A59" s="35"/>
      <c r="B59" s="146" t="s">
        <v>7</v>
      </c>
      <c r="C59" s="245"/>
      <c r="E59" s="398"/>
      <c r="F59" s="104" t="str">
        <f t="shared" ref="F59:F61" si="32">IF($E59&lt;&gt;"",(VLOOKUP($E59,$E$9:$J$14,2))*$C59,"")</f>
        <v/>
      </c>
      <c r="G59" s="105" t="str">
        <f t="shared" ref="G59:G61" si="33">IF($E59&lt;&gt;"",(VLOOKUP($E59,$E$9:$J$14,3))*$C59,"")</f>
        <v/>
      </c>
      <c r="H59" s="105" t="str">
        <f t="shared" ref="H59:H61" si="34">IF($E59&lt;&gt;"",(VLOOKUP($E59,$E$9:$J$14,4))*$C59,"")</f>
        <v/>
      </c>
      <c r="I59" s="105" t="str">
        <f t="shared" ref="I59:I61" si="35">IF($E59&lt;&gt;"",(VLOOKUP($E59,$E$9:$J$14,5))*$C59,"")</f>
        <v/>
      </c>
      <c r="J59" s="106" t="str">
        <f t="shared" ref="J59:J61" si="36">IF($E59&lt;&gt;"",(VLOOKUP($E59,$E$9:$J$14,6))*$C59,"")</f>
        <v/>
      </c>
      <c r="K59" s="106">
        <f>SUM(F59:J59)</f>
        <v>0</v>
      </c>
      <c r="L59" s="121">
        <f>+C59-K59</f>
        <v>0</v>
      </c>
    </row>
    <row r="60" spans="1:12">
      <c r="A60" s="145"/>
      <c r="B60" s="146" t="s">
        <v>12</v>
      </c>
      <c r="C60" s="245"/>
      <c r="E60" s="398"/>
      <c r="F60" s="104" t="str">
        <f t="shared" si="32"/>
        <v/>
      </c>
      <c r="G60" s="105" t="str">
        <f t="shared" si="33"/>
        <v/>
      </c>
      <c r="H60" s="105" t="str">
        <f t="shared" si="34"/>
        <v/>
      </c>
      <c r="I60" s="105" t="str">
        <f t="shared" si="35"/>
        <v/>
      </c>
      <c r="J60" s="106" t="str">
        <f t="shared" si="36"/>
        <v/>
      </c>
      <c r="K60" s="106">
        <f>SUM(F60:J60)</f>
        <v>0</v>
      </c>
      <c r="L60" s="121">
        <f>+C60-K60</f>
        <v>0</v>
      </c>
    </row>
    <row r="61" spans="1:12">
      <c r="A61" s="145"/>
      <c r="B61" s="146" t="s">
        <v>13</v>
      </c>
      <c r="C61" s="245"/>
      <c r="E61" s="398"/>
      <c r="F61" s="104" t="str">
        <f t="shared" si="32"/>
        <v/>
      </c>
      <c r="G61" s="105" t="str">
        <f t="shared" si="33"/>
        <v/>
      </c>
      <c r="H61" s="105" t="str">
        <f t="shared" si="34"/>
        <v/>
      </c>
      <c r="I61" s="105" t="str">
        <f t="shared" si="35"/>
        <v/>
      </c>
      <c r="J61" s="106" t="str">
        <f t="shared" si="36"/>
        <v/>
      </c>
      <c r="K61" s="106">
        <f>SUM(F61:J61)</f>
        <v>0</v>
      </c>
      <c r="L61" s="121">
        <f>+C61-K61</f>
        <v>0</v>
      </c>
    </row>
    <row r="62" spans="1:12">
      <c r="A62" s="145"/>
      <c r="C62" s="148"/>
      <c r="E62" s="122"/>
      <c r="F62" s="104"/>
      <c r="G62" s="105"/>
      <c r="H62" s="105"/>
      <c r="I62" s="105"/>
      <c r="J62" s="106"/>
      <c r="K62" s="106"/>
      <c r="L62" s="121"/>
    </row>
    <row r="63" spans="1:12">
      <c r="A63" s="256"/>
      <c r="B63" s="166" t="s">
        <v>24</v>
      </c>
      <c r="C63" s="257">
        <f>SUM(C59:C62)</f>
        <v>0</v>
      </c>
      <c r="D63" s="325"/>
      <c r="E63" s="326"/>
      <c r="F63" s="379">
        <f>SUM(F59:F62)</f>
        <v>0</v>
      </c>
      <c r="G63" s="327">
        <f t="shared" ref="G63:J63" si="37">SUM(G59:G62)</f>
        <v>0</v>
      </c>
      <c r="H63" s="327">
        <f t="shared" si="37"/>
        <v>0</v>
      </c>
      <c r="I63" s="327">
        <f t="shared" si="37"/>
        <v>0</v>
      </c>
      <c r="J63" s="329">
        <f t="shared" si="37"/>
        <v>0</v>
      </c>
      <c r="K63" s="167">
        <f>SUM(F63:J63)</f>
        <v>0</v>
      </c>
      <c r="L63" s="330">
        <f>+C63-K63</f>
        <v>0</v>
      </c>
    </row>
    <row r="64" spans="1:12" ht="27.75" customHeight="1">
      <c r="A64" s="405" t="s">
        <v>14</v>
      </c>
      <c r="B64" s="409"/>
      <c r="C64" s="258"/>
      <c r="E64" s="119"/>
      <c r="F64" s="145"/>
      <c r="J64" s="229"/>
      <c r="K64" s="120"/>
      <c r="L64" s="121"/>
    </row>
    <row r="65" spans="1:12">
      <c r="A65" s="145"/>
      <c r="B65" s="3" t="s">
        <v>109</v>
      </c>
      <c r="C65" s="34"/>
      <c r="E65" s="121"/>
      <c r="F65" s="145"/>
      <c r="J65" s="229"/>
      <c r="K65" s="106"/>
      <c r="L65" s="121"/>
    </row>
    <row r="66" spans="1:12">
      <c r="A66" s="145"/>
      <c r="B66" s="146" t="s">
        <v>234</v>
      </c>
      <c r="C66" s="245"/>
      <c r="E66" s="398"/>
      <c r="F66" s="104" t="str">
        <f t="shared" ref="F66:F71" si="38">IF($E66&lt;&gt;"",(VLOOKUP($E66,$E$9:$J$14,2))*$C66,"")</f>
        <v/>
      </c>
      <c r="G66" s="105" t="str">
        <f t="shared" ref="G66:G71" si="39">IF($E66&lt;&gt;"",(VLOOKUP($E66,$E$9:$J$14,3))*$C66,"")</f>
        <v/>
      </c>
      <c r="H66" s="105" t="str">
        <f t="shared" ref="H66:H71" si="40">IF($E66&lt;&gt;"",(VLOOKUP($E66,$E$9:$J$14,4))*$C66,"")</f>
        <v/>
      </c>
      <c r="I66" s="105" t="str">
        <f t="shared" ref="I66:I71" si="41">IF($E66&lt;&gt;"",(VLOOKUP($E66,$E$9:$J$14,5))*$C66,"")</f>
        <v/>
      </c>
      <c r="J66" s="106" t="str">
        <f t="shared" ref="J66:J71" si="42">IF($E66&lt;&gt;"",(VLOOKUP($E66,$E$9:$J$14,6))*$C66,"")</f>
        <v/>
      </c>
      <c r="K66" s="106">
        <f t="shared" ref="K66:K71" si="43">SUM(F66:J66)</f>
        <v>0</v>
      </c>
      <c r="L66" s="121">
        <f t="shared" ref="L66:L71" si="44">+C66-K66</f>
        <v>0</v>
      </c>
    </row>
    <row r="67" spans="1:12">
      <c r="A67" s="145"/>
      <c r="B67" s="146" t="s">
        <v>15</v>
      </c>
      <c r="C67" s="245"/>
      <c r="E67" s="398"/>
      <c r="F67" s="104" t="str">
        <f t="shared" si="38"/>
        <v/>
      </c>
      <c r="G67" s="105" t="str">
        <f t="shared" si="39"/>
        <v/>
      </c>
      <c r="H67" s="105" t="str">
        <f t="shared" si="40"/>
        <v/>
      </c>
      <c r="I67" s="105" t="str">
        <f t="shared" si="41"/>
        <v/>
      </c>
      <c r="J67" s="106" t="str">
        <f t="shared" si="42"/>
        <v/>
      </c>
      <c r="K67" s="106">
        <f t="shared" si="43"/>
        <v>0</v>
      </c>
      <c r="L67" s="121">
        <f t="shared" si="44"/>
        <v>0</v>
      </c>
    </row>
    <row r="68" spans="1:12">
      <c r="A68" s="145"/>
      <c r="B68" s="146" t="s">
        <v>16</v>
      </c>
      <c r="C68" s="245"/>
      <c r="E68" s="398"/>
      <c r="F68" s="104" t="str">
        <f t="shared" si="38"/>
        <v/>
      </c>
      <c r="G68" s="105" t="str">
        <f t="shared" si="39"/>
        <v/>
      </c>
      <c r="H68" s="105" t="str">
        <f t="shared" si="40"/>
        <v/>
      </c>
      <c r="I68" s="105" t="str">
        <f t="shared" si="41"/>
        <v/>
      </c>
      <c r="J68" s="106" t="str">
        <f t="shared" si="42"/>
        <v/>
      </c>
      <c r="K68" s="106">
        <f t="shared" si="43"/>
        <v>0</v>
      </c>
      <c r="L68" s="121">
        <f t="shared" si="44"/>
        <v>0</v>
      </c>
    </row>
    <row r="69" spans="1:12">
      <c r="A69" s="145"/>
      <c r="B69" s="146" t="s">
        <v>17</v>
      </c>
      <c r="C69" s="245"/>
      <c r="E69" s="398"/>
      <c r="F69" s="104" t="str">
        <f t="shared" si="38"/>
        <v/>
      </c>
      <c r="G69" s="105" t="str">
        <f t="shared" si="39"/>
        <v/>
      </c>
      <c r="H69" s="105" t="str">
        <f t="shared" si="40"/>
        <v/>
      </c>
      <c r="I69" s="105" t="str">
        <f t="shared" si="41"/>
        <v/>
      </c>
      <c r="J69" s="106" t="str">
        <f t="shared" si="42"/>
        <v/>
      </c>
      <c r="K69" s="106">
        <f t="shared" si="43"/>
        <v>0</v>
      </c>
      <c r="L69" s="121">
        <f t="shared" si="44"/>
        <v>0</v>
      </c>
    </row>
    <row r="70" spans="1:12">
      <c r="A70" s="145"/>
      <c r="B70" s="146" t="s">
        <v>4</v>
      </c>
      <c r="C70" s="245"/>
      <c r="E70" s="398"/>
      <c r="F70" s="104" t="str">
        <f t="shared" si="38"/>
        <v/>
      </c>
      <c r="G70" s="105" t="str">
        <f t="shared" si="39"/>
        <v/>
      </c>
      <c r="H70" s="105" t="str">
        <f t="shared" si="40"/>
        <v/>
      </c>
      <c r="I70" s="105" t="str">
        <f t="shared" si="41"/>
        <v/>
      </c>
      <c r="J70" s="106" t="str">
        <f t="shared" si="42"/>
        <v/>
      </c>
      <c r="K70" s="106">
        <f t="shared" si="43"/>
        <v>0</v>
      </c>
      <c r="L70" s="121">
        <f t="shared" si="44"/>
        <v>0</v>
      </c>
    </row>
    <row r="71" spans="1:12">
      <c r="A71" s="145"/>
      <c r="B71" s="146" t="s">
        <v>235</v>
      </c>
      <c r="C71" s="245"/>
      <c r="E71" s="398"/>
      <c r="F71" s="104" t="str">
        <f t="shared" si="38"/>
        <v/>
      </c>
      <c r="G71" s="105" t="str">
        <f t="shared" si="39"/>
        <v/>
      </c>
      <c r="H71" s="105" t="str">
        <f t="shared" si="40"/>
        <v/>
      </c>
      <c r="I71" s="105" t="str">
        <f t="shared" si="41"/>
        <v/>
      </c>
      <c r="J71" s="106" t="str">
        <f t="shared" si="42"/>
        <v/>
      </c>
      <c r="K71" s="106">
        <f t="shared" si="43"/>
        <v>0</v>
      </c>
      <c r="L71" s="121">
        <f t="shared" si="44"/>
        <v>0</v>
      </c>
    </row>
    <row r="72" spans="1:12">
      <c r="A72" s="145"/>
      <c r="C72" s="148"/>
      <c r="E72" s="121"/>
      <c r="F72" s="145"/>
      <c r="J72" s="229"/>
      <c r="K72" s="106"/>
      <c r="L72" s="121"/>
    </row>
    <row r="73" spans="1:12">
      <c r="A73" s="145"/>
      <c r="B73" s="3" t="s">
        <v>108</v>
      </c>
      <c r="C73" s="34"/>
      <c r="E73" s="121"/>
      <c r="F73" s="145"/>
      <c r="J73" s="229"/>
      <c r="K73" s="106"/>
      <c r="L73" s="121"/>
    </row>
    <row r="74" spans="1:12">
      <c r="A74" s="145"/>
      <c r="B74" s="146" t="s">
        <v>236</v>
      </c>
      <c r="C74" s="245"/>
      <c r="E74" s="398"/>
      <c r="F74" s="104" t="str">
        <f t="shared" ref="F74:F76" si="45">IF($E74&lt;&gt;"",(VLOOKUP($E74,$E$9:$J$14,2))*$C74,"")</f>
        <v/>
      </c>
      <c r="G74" s="105" t="str">
        <f t="shared" ref="G74:G76" si="46">IF($E74&lt;&gt;"",(VLOOKUP($E74,$E$9:$J$14,3))*$C74,"")</f>
        <v/>
      </c>
      <c r="H74" s="105" t="str">
        <f t="shared" ref="H74:H76" si="47">IF($E74&lt;&gt;"",(VLOOKUP($E74,$E$9:$J$14,4))*$C74,"")</f>
        <v/>
      </c>
      <c r="I74" s="105" t="str">
        <f t="shared" ref="I74:I76" si="48">IF($E74&lt;&gt;"",(VLOOKUP($E74,$E$9:$J$14,5))*$C74,"")</f>
        <v/>
      </c>
      <c r="J74" s="106" t="str">
        <f t="shared" ref="J74:J76" si="49">IF($E74&lt;&gt;"",(VLOOKUP($E74,$E$9:$J$14,6))*$C74,"")</f>
        <v/>
      </c>
      <c r="K74" s="106">
        <f>SUM(F74:J74)</f>
        <v>0</v>
      </c>
      <c r="L74" s="121">
        <f>+C74-K74</f>
        <v>0</v>
      </c>
    </row>
    <row r="75" spans="1:12">
      <c r="A75" s="145"/>
      <c r="B75" s="259" t="s">
        <v>237</v>
      </c>
      <c r="C75" s="245"/>
      <c r="E75" s="398"/>
      <c r="F75" s="104" t="str">
        <f t="shared" si="45"/>
        <v/>
      </c>
      <c r="G75" s="105" t="str">
        <f t="shared" si="46"/>
        <v/>
      </c>
      <c r="H75" s="105" t="str">
        <f t="shared" si="47"/>
        <v/>
      </c>
      <c r="I75" s="105" t="str">
        <f t="shared" si="48"/>
        <v/>
      </c>
      <c r="J75" s="106" t="str">
        <f t="shared" si="49"/>
        <v/>
      </c>
      <c r="K75" s="106">
        <f>SUM(F75:J75)</f>
        <v>0</v>
      </c>
      <c r="L75" s="121">
        <f>+C75-K75</f>
        <v>0</v>
      </c>
    </row>
    <row r="76" spans="1:12">
      <c r="A76" s="145"/>
      <c r="B76" s="146" t="s">
        <v>238</v>
      </c>
      <c r="C76" s="260"/>
      <c r="E76" s="398"/>
      <c r="F76" s="104" t="str">
        <f t="shared" si="45"/>
        <v/>
      </c>
      <c r="G76" s="105" t="str">
        <f t="shared" si="46"/>
        <v/>
      </c>
      <c r="H76" s="105" t="str">
        <f t="shared" si="47"/>
        <v/>
      </c>
      <c r="I76" s="105" t="str">
        <f t="shared" si="48"/>
        <v/>
      </c>
      <c r="J76" s="106" t="str">
        <f t="shared" si="49"/>
        <v/>
      </c>
      <c r="K76" s="106">
        <f>SUM(F76:J76)</f>
        <v>0</v>
      </c>
      <c r="L76" s="121">
        <f>+C76-K76</f>
        <v>0</v>
      </c>
    </row>
    <row r="77" spans="1:12">
      <c r="A77" s="145"/>
      <c r="B77" s="259"/>
      <c r="C77" s="148"/>
      <c r="E77" s="121"/>
      <c r="F77" s="145"/>
      <c r="J77" s="229"/>
      <c r="K77" s="106"/>
      <c r="L77" s="121"/>
    </row>
    <row r="78" spans="1:12">
      <c r="A78" s="145"/>
      <c r="B78" s="3" t="s">
        <v>18</v>
      </c>
      <c r="C78" s="34"/>
      <c r="E78" s="121"/>
      <c r="F78" s="145"/>
      <c r="J78" s="229"/>
      <c r="K78" s="106"/>
      <c r="L78" s="121"/>
    </row>
    <row r="79" spans="1:12">
      <c r="A79" s="145"/>
      <c r="B79" s="146" t="s">
        <v>19</v>
      </c>
      <c r="C79" s="245"/>
      <c r="E79" s="398"/>
      <c r="F79" s="104" t="str">
        <f t="shared" ref="F79:F82" si="50">IF($E79&lt;&gt;"",(VLOOKUP($E79,$E$9:$J$14,2))*$C79,"")</f>
        <v/>
      </c>
      <c r="G79" s="105" t="str">
        <f t="shared" ref="G79:G82" si="51">IF($E79&lt;&gt;"",(VLOOKUP($E79,$E$9:$J$14,3))*$C79,"")</f>
        <v/>
      </c>
      <c r="H79" s="105" t="str">
        <f t="shared" ref="H79:H82" si="52">IF($E79&lt;&gt;"",(VLOOKUP($E79,$E$9:$J$14,4))*$C79,"")</f>
        <v/>
      </c>
      <c r="I79" s="105" t="str">
        <f t="shared" ref="I79:I82" si="53">IF($E79&lt;&gt;"",(VLOOKUP($E79,$E$9:$J$14,5))*$C79,"")</f>
        <v/>
      </c>
      <c r="J79" s="106" t="str">
        <f t="shared" ref="J79:J82" si="54">IF($E79&lt;&gt;"",(VLOOKUP($E79,$E$9:$J$14,6))*$C79,"")</f>
        <v/>
      </c>
      <c r="K79" s="106">
        <f>SUM(F79:J79)</f>
        <v>0</v>
      </c>
      <c r="L79" s="121">
        <f>+C79-K79</f>
        <v>0</v>
      </c>
    </row>
    <row r="80" spans="1:12">
      <c r="A80" s="145"/>
      <c r="B80" s="146" t="s">
        <v>20</v>
      </c>
      <c r="C80" s="245"/>
      <c r="E80" s="398"/>
      <c r="F80" s="104" t="str">
        <f t="shared" si="50"/>
        <v/>
      </c>
      <c r="G80" s="105" t="str">
        <f t="shared" si="51"/>
        <v/>
      </c>
      <c r="H80" s="105" t="str">
        <f t="shared" si="52"/>
        <v/>
      </c>
      <c r="I80" s="105" t="str">
        <f t="shared" si="53"/>
        <v/>
      </c>
      <c r="J80" s="106" t="str">
        <f t="shared" si="54"/>
        <v/>
      </c>
      <c r="K80" s="106">
        <f>SUM(F80:J80)</f>
        <v>0</v>
      </c>
      <c r="L80" s="121">
        <f>+C80-K80</f>
        <v>0</v>
      </c>
    </row>
    <row r="81" spans="1:16">
      <c r="A81" s="145"/>
      <c r="B81" s="146" t="s">
        <v>21</v>
      </c>
      <c r="C81" s="245"/>
      <c r="E81" s="400"/>
      <c r="F81" s="104" t="str">
        <f t="shared" si="50"/>
        <v/>
      </c>
      <c r="G81" s="105" t="str">
        <f t="shared" si="51"/>
        <v/>
      </c>
      <c r="H81" s="105" t="str">
        <f t="shared" si="52"/>
        <v/>
      </c>
      <c r="I81" s="105" t="str">
        <f t="shared" si="53"/>
        <v/>
      </c>
      <c r="J81" s="106" t="str">
        <f t="shared" si="54"/>
        <v/>
      </c>
      <c r="K81" s="106">
        <f>SUM(F81:J81)</f>
        <v>0</v>
      </c>
      <c r="L81" s="121">
        <f>+C81-K81</f>
        <v>0</v>
      </c>
      <c r="N81" s="399"/>
    </row>
    <row r="82" spans="1:16">
      <c r="A82" s="145"/>
      <c r="C82" s="148"/>
      <c r="E82" s="122"/>
      <c r="F82" s="104" t="str">
        <f t="shared" si="50"/>
        <v/>
      </c>
      <c r="G82" s="105" t="str">
        <f t="shared" si="51"/>
        <v/>
      </c>
      <c r="H82" s="105" t="str">
        <f t="shared" si="52"/>
        <v/>
      </c>
      <c r="I82" s="105" t="str">
        <f t="shared" si="53"/>
        <v/>
      </c>
      <c r="J82" s="106" t="str">
        <f t="shared" si="54"/>
        <v/>
      </c>
      <c r="K82" s="106"/>
      <c r="L82" s="121"/>
    </row>
    <row r="83" spans="1:16">
      <c r="A83" s="347"/>
      <c r="B83" s="348" t="s">
        <v>24</v>
      </c>
      <c r="C83" s="327">
        <f>SUM(C66:C82)</f>
        <v>0</v>
      </c>
      <c r="D83" s="325"/>
      <c r="E83" s="326"/>
      <c r="F83" s="379">
        <f>SUM(F66:F81)</f>
        <v>0</v>
      </c>
      <c r="G83" s="327">
        <f t="shared" ref="G83:J83" si="55">SUM(G66:G81)</f>
        <v>0</v>
      </c>
      <c r="H83" s="327">
        <f t="shared" si="55"/>
        <v>0</v>
      </c>
      <c r="I83" s="327">
        <f t="shared" si="55"/>
        <v>0</v>
      </c>
      <c r="J83" s="329">
        <f t="shared" si="55"/>
        <v>0</v>
      </c>
      <c r="K83" s="167">
        <f>SUM(F83:J83)</f>
        <v>0</v>
      </c>
      <c r="L83" s="330">
        <f>+C83-K83</f>
        <v>0</v>
      </c>
    </row>
    <row r="84" spans="1:16">
      <c r="A84" s="256"/>
      <c r="B84" s="172" t="s">
        <v>267</v>
      </c>
      <c r="C84" s="257">
        <f>C39+C44+C52+C57+C63+C83</f>
        <v>1.0000000000000001E-5</v>
      </c>
      <c r="D84" s="335"/>
      <c r="E84" s="170"/>
      <c r="F84" s="349">
        <f t="shared" ref="F84:J84" si="56">F39+F44+F52+F57+F63+F83</f>
        <v>0</v>
      </c>
      <c r="G84" s="334">
        <f t="shared" si="56"/>
        <v>0</v>
      </c>
      <c r="H84" s="334">
        <f t="shared" si="56"/>
        <v>0</v>
      </c>
      <c r="I84" s="334">
        <f>I39+I44+I52+I57+I63+I83</f>
        <v>0</v>
      </c>
      <c r="J84" s="350">
        <f t="shared" si="56"/>
        <v>0</v>
      </c>
      <c r="K84" s="167">
        <f>SUM(F84:J84)</f>
        <v>0</v>
      </c>
      <c r="L84" s="330">
        <f>+C84-K84</f>
        <v>1.0000000000000001E-5</v>
      </c>
    </row>
    <row r="85" spans="1:16" ht="29.25" customHeight="1">
      <c r="A85" s="405" t="s">
        <v>268</v>
      </c>
      <c r="B85" s="406"/>
      <c r="C85" s="258"/>
      <c r="E85" s="121"/>
      <c r="F85" s="145"/>
      <c r="J85" s="229"/>
      <c r="K85" s="106"/>
      <c r="L85" s="121"/>
    </row>
    <row r="86" spans="1:16">
      <c r="A86" s="35"/>
      <c r="B86" s="146" t="s">
        <v>239</v>
      </c>
      <c r="C86" s="245"/>
      <c r="E86" s="400">
        <v>1</v>
      </c>
      <c r="F86" s="104">
        <f t="shared" ref="F86" si="57">IF($E86&lt;&gt;"",(VLOOKUP($E86,$E$9:$J$14,2))*$C86,"")</f>
        <v>0</v>
      </c>
      <c r="G86" s="105">
        <f t="shared" ref="G86" si="58">IF($E86&lt;&gt;"",(VLOOKUP($E86,$E$9:$J$14,3))*$C86,"")</f>
        <v>0</v>
      </c>
      <c r="H86" s="105">
        <f t="shared" ref="H86" si="59">IF($E86&lt;&gt;"",(VLOOKUP($E86,$E$9:$J$14,4))*$C86,"")</f>
        <v>0</v>
      </c>
      <c r="I86" s="105">
        <f t="shared" ref="I86" si="60">IF($E86&lt;&gt;"",(VLOOKUP($E86,$E$9:$J$14,5))*$C86,"")</f>
        <v>0</v>
      </c>
      <c r="J86" s="106">
        <f t="shared" ref="J86" si="61">IF($E86&lt;&gt;"",(VLOOKUP($E86,$E$9:$J$14,6))*$C86,"")</f>
        <v>0</v>
      </c>
      <c r="K86" s="106">
        <f>SUM(F86:J86)</f>
        <v>0</v>
      </c>
      <c r="L86" s="121">
        <f>+C86-K86</f>
        <v>0</v>
      </c>
      <c r="N86" s="399"/>
      <c r="P86" s="399"/>
    </row>
    <row r="87" spans="1:16">
      <c r="A87" s="261"/>
      <c r="B87" s="158" t="s">
        <v>240</v>
      </c>
      <c r="C87" s="148"/>
      <c r="E87" s="121"/>
      <c r="F87" s="145"/>
      <c r="J87" s="229"/>
      <c r="K87" s="106"/>
      <c r="L87" s="121"/>
    </row>
    <row r="88" spans="1:16">
      <c r="A88" s="35"/>
      <c r="C88" s="148"/>
      <c r="D88" s="96"/>
      <c r="E88" s="123"/>
      <c r="F88" s="104" t="str">
        <f t="shared" ref="F88" si="62">IF($E88&lt;&gt;"",(VLOOKUP($E88,$E$9:$J$14,2))*$C88,"")</f>
        <v/>
      </c>
      <c r="G88" s="105" t="str">
        <f t="shared" ref="G88" si="63">IF($E88&lt;&gt;"",(VLOOKUP($E88,$E$9:$J$14,3))*$C88,"")</f>
        <v/>
      </c>
      <c r="H88" s="105" t="str">
        <f t="shared" ref="H88" si="64">IF($E88&lt;&gt;"",(VLOOKUP($E88,$E$9:$J$14,4))*$C88,"")</f>
        <v/>
      </c>
      <c r="I88" s="105" t="str">
        <f t="shared" ref="I88" si="65">IF($E88&lt;&gt;"",(VLOOKUP($E88,$E$9:$J$14,5))*$C88,"")</f>
        <v/>
      </c>
      <c r="J88" s="106" t="str">
        <f t="shared" ref="J88" si="66">IF($E88&lt;&gt;"",(VLOOKUP($E88,$E$9:$J$14,6))*$C88,"")</f>
        <v/>
      </c>
      <c r="K88" s="328"/>
      <c r="L88" s="142"/>
    </row>
    <row r="89" spans="1:16">
      <c r="A89" s="168"/>
      <c r="B89" s="169" t="s">
        <v>94</v>
      </c>
      <c r="C89" s="262">
        <f>+C84+C86</f>
        <v>1.0000000000000001E-5</v>
      </c>
      <c r="D89" s="325"/>
      <c r="E89" s="326"/>
      <c r="F89" s="380">
        <f>F39+F44+F52+F57+F63+F83+F86</f>
        <v>0</v>
      </c>
      <c r="G89" s="262">
        <f t="shared" ref="G89:J89" si="67">G39+G44+G52+G57+G63+G83+G86</f>
        <v>0</v>
      </c>
      <c r="H89" s="262">
        <f t="shared" si="67"/>
        <v>0</v>
      </c>
      <c r="I89" s="262">
        <f t="shared" si="67"/>
        <v>0</v>
      </c>
      <c r="J89" s="381">
        <f t="shared" si="67"/>
        <v>0</v>
      </c>
      <c r="K89" s="167">
        <f>SUM(F89:J89)</f>
        <v>0</v>
      </c>
      <c r="L89" s="330">
        <f>+C89-K89</f>
        <v>1.0000000000000001E-5</v>
      </c>
    </row>
    <row r="90" spans="1:16">
      <c r="A90" s="407" t="s">
        <v>186</v>
      </c>
      <c r="B90" s="408"/>
      <c r="C90" s="148"/>
      <c r="E90" s="121"/>
      <c r="F90" s="145"/>
      <c r="J90" s="229"/>
      <c r="K90" s="106"/>
      <c r="L90" s="121"/>
    </row>
    <row r="91" spans="1:16">
      <c r="A91" s="145"/>
      <c r="B91" s="146" t="s">
        <v>241</v>
      </c>
      <c r="C91" s="263">
        <v>-1.0000000000000001E-5</v>
      </c>
      <c r="E91" s="396" t="s">
        <v>165</v>
      </c>
      <c r="F91" s="104">
        <f t="shared" ref="F91:J93" si="68">+F$16*$C91</f>
        <v>0</v>
      </c>
      <c r="G91" s="105">
        <f t="shared" si="68"/>
        <v>0</v>
      </c>
      <c r="H91" s="105">
        <f t="shared" si="68"/>
        <v>0</v>
      </c>
      <c r="I91" s="105">
        <f t="shared" si="68"/>
        <v>0</v>
      </c>
      <c r="J91" s="106">
        <f t="shared" si="68"/>
        <v>0</v>
      </c>
      <c r="K91" s="106">
        <f>SUM(F91:J91)</f>
        <v>0</v>
      </c>
      <c r="L91" s="121">
        <f>+C91-K91</f>
        <v>-1.0000000000000001E-5</v>
      </c>
    </row>
    <row r="92" spans="1:16">
      <c r="A92" s="145"/>
      <c r="B92" s="146" t="s">
        <v>242</v>
      </c>
      <c r="C92" s="245"/>
      <c r="E92" s="396" t="s">
        <v>165</v>
      </c>
      <c r="F92" s="104">
        <f t="shared" si="68"/>
        <v>0</v>
      </c>
      <c r="G92" s="105">
        <f t="shared" si="68"/>
        <v>0</v>
      </c>
      <c r="H92" s="105">
        <f t="shared" si="68"/>
        <v>0</v>
      </c>
      <c r="I92" s="105">
        <f t="shared" si="68"/>
        <v>0</v>
      </c>
      <c r="J92" s="106">
        <f t="shared" si="68"/>
        <v>0</v>
      </c>
      <c r="K92" s="106">
        <f>SUM(F92:J92)</f>
        <v>0</v>
      </c>
      <c r="L92" s="121">
        <f>+C92-K92</f>
        <v>0</v>
      </c>
    </row>
    <row r="93" spans="1:16">
      <c r="A93" s="145"/>
      <c r="B93" s="146" t="s">
        <v>166</v>
      </c>
      <c r="C93" s="245"/>
      <c r="E93" s="396" t="s">
        <v>165</v>
      </c>
      <c r="F93" s="104">
        <f t="shared" si="68"/>
        <v>0</v>
      </c>
      <c r="G93" s="105">
        <f t="shared" si="68"/>
        <v>0</v>
      </c>
      <c r="H93" s="105">
        <f t="shared" si="68"/>
        <v>0</v>
      </c>
      <c r="I93" s="105">
        <f t="shared" si="68"/>
        <v>0</v>
      </c>
      <c r="J93" s="106">
        <f t="shared" si="68"/>
        <v>0</v>
      </c>
      <c r="K93" s="106">
        <f>SUM(F93:J93)</f>
        <v>0</v>
      </c>
      <c r="L93" s="121">
        <f>+C93-K93</f>
        <v>0</v>
      </c>
    </row>
    <row r="94" spans="1:16">
      <c r="A94" s="145"/>
      <c r="C94" s="148"/>
      <c r="D94" s="96"/>
      <c r="E94" s="123"/>
      <c r="F94" s="104" t="str">
        <f t="shared" ref="F94" si="69">IF($E94&lt;&gt;"",(VLOOKUP($E94,$E$9:$J$14,2))*$C94,"")</f>
        <v/>
      </c>
      <c r="G94" s="105" t="str">
        <f t="shared" ref="G94" si="70">IF($E94&lt;&gt;"",(VLOOKUP($E94,$E$9:$J$14,3))*$C94,"")</f>
        <v/>
      </c>
      <c r="H94" s="105" t="str">
        <f t="shared" ref="H94" si="71">IF($E94&lt;&gt;"",(VLOOKUP($E94,$E$9:$J$14,4))*$C94,"")</f>
        <v/>
      </c>
      <c r="I94" s="105" t="str">
        <f t="shared" ref="I94" si="72">IF($E94&lt;&gt;"",(VLOOKUP($E94,$E$9:$J$14,5))*$C94,"")</f>
        <v/>
      </c>
      <c r="J94" s="106" t="str">
        <f t="shared" ref="J94" si="73">IF($E94&lt;&gt;"",(VLOOKUP($E94,$E$9:$J$14,6))*$C94,"")</f>
        <v/>
      </c>
      <c r="K94" s="328"/>
      <c r="L94" s="142"/>
    </row>
    <row r="95" spans="1:16">
      <c r="A95" s="168"/>
      <c r="B95" s="169" t="s">
        <v>187</v>
      </c>
      <c r="C95" s="262">
        <f>SUM(C91:C94)</f>
        <v>-1.0000000000000001E-5</v>
      </c>
      <c r="D95" s="325"/>
      <c r="E95" s="326"/>
      <c r="F95" s="349">
        <f>SUM(F91:F93)</f>
        <v>0</v>
      </c>
      <c r="G95" s="334">
        <f t="shared" ref="G95:J95" si="74">SUM(G91:G93)</f>
        <v>0</v>
      </c>
      <c r="H95" s="334">
        <f t="shared" si="74"/>
        <v>0</v>
      </c>
      <c r="I95" s="334">
        <f t="shared" si="74"/>
        <v>0</v>
      </c>
      <c r="J95" s="350">
        <f t="shared" si="74"/>
        <v>0</v>
      </c>
      <c r="K95" s="167">
        <f>SUM(F95:J95)</f>
        <v>0</v>
      </c>
      <c r="L95" s="330">
        <f>+C95-K95</f>
        <v>-1.0000000000000001E-5</v>
      </c>
    </row>
    <row r="96" spans="1:16">
      <c r="A96" s="145"/>
      <c r="C96" s="148"/>
      <c r="E96" s="336"/>
      <c r="F96" s="187"/>
      <c r="G96" s="189"/>
      <c r="H96" s="189"/>
      <c r="I96" s="189"/>
      <c r="J96" s="228"/>
      <c r="K96" s="228"/>
      <c r="L96" s="228"/>
    </row>
    <row r="97" spans="1:12">
      <c r="A97" s="264"/>
      <c r="B97" s="172" t="s">
        <v>243</v>
      </c>
      <c r="C97" s="262">
        <f>C89+C95</f>
        <v>0</v>
      </c>
      <c r="D97" s="335"/>
      <c r="E97" s="170"/>
      <c r="F97" s="349">
        <f>F89+F95</f>
        <v>0</v>
      </c>
      <c r="G97" s="334">
        <f>G89+G95</f>
        <v>0</v>
      </c>
      <c r="H97" s="334">
        <f>H89+H95</f>
        <v>0</v>
      </c>
      <c r="I97" s="334">
        <f>I89+I95</f>
        <v>0</v>
      </c>
      <c r="J97" s="350">
        <f>J89+J95</f>
        <v>0</v>
      </c>
      <c r="K97" s="171">
        <f>SUM(F97:J97)</f>
        <v>0</v>
      </c>
      <c r="L97" s="338">
        <f>+C97-K97</f>
        <v>0</v>
      </c>
    </row>
    <row r="98" spans="1:12">
      <c r="A98" s="35"/>
      <c r="B98" s="265" t="s">
        <v>244</v>
      </c>
      <c r="C98" s="156">
        <f>-C97/C95</f>
        <v>0</v>
      </c>
      <c r="E98" s="337"/>
      <c r="F98" s="145"/>
      <c r="J98" s="229"/>
      <c r="K98" s="229"/>
      <c r="L98" s="229"/>
    </row>
    <row r="99" spans="1:12">
      <c r="A99" s="35"/>
      <c r="B99" s="265" t="s">
        <v>245</v>
      </c>
      <c r="C99" s="266"/>
      <c r="E99" s="337"/>
      <c r="F99" s="145"/>
      <c r="J99" s="229"/>
      <c r="K99" s="229"/>
      <c r="L99" s="229"/>
    </row>
    <row r="100" spans="1:12" ht="9" customHeight="1">
      <c r="A100" s="35"/>
      <c r="C100" s="148"/>
      <c r="E100" s="342"/>
      <c r="F100" s="145"/>
      <c r="J100" s="229"/>
      <c r="K100" s="234"/>
      <c r="L100" s="229"/>
    </row>
    <row r="101" spans="1:12" ht="15.75" customHeight="1">
      <c r="A101" s="267" t="s">
        <v>246</v>
      </c>
      <c r="B101" s="169"/>
      <c r="C101" s="268">
        <f>+C89+C92+C93</f>
        <v>1.0000000000000001E-5</v>
      </c>
      <c r="D101" s="335"/>
      <c r="E101" s="170"/>
      <c r="F101" s="382">
        <f>+F89+F92+F93</f>
        <v>0</v>
      </c>
      <c r="G101" s="268">
        <f>+G89+G92+G93</f>
        <v>0</v>
      </c>
      <c r="H101" s="268">
        <f>+H89+H92+H93</f>
        <v>0</v>
      </c>
      <c r="I101" s="268">
        <f>+I89+I92+I93</f>
        <v>0</v>
      </c>
      <c r="J101" s="383">
        <f>+J89+J92+J93</f>
        <v>0</v>
      </c>
      <c r="K101" s="171">
        <f>SUM(F101:J101)</f>
        <v>0</v>
      </c>
      <c r="L101" s="338">
        <f>+C101-K101</f>
        <v>1.0000000000000001E-5</v>
      </c>
    </row>
    <row r="102" spans="1:12">
      <c r="A102" s="145"/>
      <c r="C102" s="143"/>
      <c r="E102" s="336"/>
      <c r="F102" s="187"/>
      <c r="G102" s="189"/>
      <c r="H102" s="189"/>
      <c r="I102" s="189"/>
      <c r="J102" s="228"/>
      <c r="K102" s="228"/>
      <c r="L102" s="228"/>
    </row>
    <row r="103" spans="1:12">
      <c r="A103" s="35"/>
      <c r="B103" s="146" t="s">
        <v>247</v>
      </c>
      <c r="C103" s="269">
        <v>1</v>
      </c>
      <c r="E103" s="337"/>
      <c r="F103" s="384">
        <f>+C103</f>
        <v>1</v>
      </c>
      <c r="G103" s="361">
        <f>+Fordelingsnøgler!C18</f>
        <v>9.9999999999999995E-8</v>
      </c>
      <c r="H103" s="361">
        <f>+Fordelingsnøgler!D18</f>
        <v>9.9999999999999995E-8</v>
      </c>
      <c r="I103" s="361">
        <f>+Fordelingsnøgler!E18</f>
        <v>9.9999999999999995E-8</v>
      </c>
      <c r="J103" s="385">
        <f>+Fordelingsnøgler!F18</f>
        <v>9.9999999999999995E-8</v>
      </c>
      <c r="K103" s="339">
        <f>SUM(G103:J103)</f>
        <v>3.9999999999999998E-7</v>
      </c>
      <c r="L103" s="95">
        <f>+C103-K103</f>
        <v>0.99999959999999999</v>
      </c>
    </row>
    <row r="104" spans="1:12">
      <c r="A104" s="35"/>
      <c r="B104" s="146" t="s">
        <v>248</v>
      </c>
      <c r="C104" s="269">
        <v>1</v>
      </c>
      <c r="E104" s="337"/>
      <c r="F104" s="386">
        <f>+$C104</f>
        <v>1</v>
      </c>
      <c r="G104" s="387">
        <f t="shared" ref="G104:J104" si="75">+$C104</f>
        <v>1</v>
      </c>
      <c r="H104" s="387">
        <f t="shared" si="75"/>
        <v>1</v>
      </c>
      <c r="I104" s="387">
        <f t="shared" si="75"/>
        <v>1</v>
      </c>
      <c r="J104" s="388">
        <f t="shared" si="75"/>
        <v>1</v>
      </c>
      <c r="K104" s="340"/>
      <c r="L104" s="229"/>
    </row>
    <row r="105" spans="1:12">
      <c r="A105" s="35"/>
      <c r="B105" s="146" t="s">
        <v>249</v>
      </c>
      <c r="C105" s="147">
        <f>+C103*C104</f>
        <v>1</v>
      </c>
      <c r="E105" s="337"/>
      <c r="F105" s="386">
        <f>+F103*F104</f>
        <v>1</v>
      </c>
      <c r="G105" s="387">
        <f t="shared" ref="G105:J105" si="76">+G103*G104</f>
        <v>9.9999999999999995E-8</v>
      </c>
      <c r="H105" s="387">
        <f t="shared" si="76"/>
        <v>9.9999999999999995E-8</v>
      </c>
      <c r="I105" s="387">
        <f t="shared" si="76"/>
        <v>9.9999999999999995E-8</v>
      </c>
      <c r="J105" s="388">
        <f t="shared" si="76"/>
        <v>9.9999999999999995E-8</v>
      </c>
      <c r="K105" s="339">
        <f>SUM(G105:J105)</f>
        <v>3.9999999999999998E-7</v>
      </c>
      <c r="L105" s="95">
        <f>+C105-K105</f>
        <v>0.99999959999999999</v>
      </c>
    </row>
    <row r="106" spans="1:12">
      <c r="A106" s="35"/>
      <c r="B106" s="146" t="s">
        <v>250</v>
      </c>
      <c r="C106" s="270">
        <v>365</v>
      </c>
      <c r="E106" s="337"/>
      <c r="F106" s="389">
        <f>+$C106</f>
        <v>365</v>
      </c>
      <c r="G106" s="148">
        <f t="shared" ref="G106:J106" si="77">+$C106</f>
        <v>365</v>
      </c>
      <c r="H106" s="148">
        <f t="shared" si="77"/>
        <v>365</v>
      </c>
      <c r="I106" s="148">
        <f t="shared" si="77"/>
        <v>365</v>
      </c>
      <c r="J106" s="390">
        <f t="shared" si="77"/>
        <v>365</v>
      </c>
      <c r="K106" s="98"/>
      <c r="L106" s="229"/>
    </row>
    <row r="107" spans="1:12">
      <c r="A107" s="35"/>
      <c r="B107" s="3" t="s">
        <v>251</v>
      </c>
      <c r="C107" s="34">
        <f>+C105*C106</f>
        <v>365</v>
      </c>
      <c r="E107" s="337"/>
      <c r="F107" s="391">
        <f>+F105*F106</f>
        <v>365</v>
      </c>
      <c r="G107" s="34">
        <f t="shared" ref="G107:J107" si="78">+G105*G106</f>
        <v>3.65E-5</v>
      </c>
      <c r="H107" s="34">
        <f t="shared" si="78"/>
        <v>3.65E-5</v>
      </c>
      <c r="I107" s="34">
        <f t="shared" si="78"/>
        <v>3.65E-5</v>
      </c>
      <c r="J107" s="392">
        <f t="shared" si="78"/>
        <v>3.65E-5</v>
      </c>
      <c r="K107" s="341">
        <f>SUM(G107:J107)</f>
        <v>1.46E-4</v>
      </c>
      <c r="L107" s="95">
        <f>+C107-K107</f>
        <v>364.99985400000003</v>
      </c>
    </row>
    <row r="108" spans="1:12">
      <c r="A108" s="35"/>
      <c r="C108" s="143"/>
      <c r="E108" s="337"/>
      <c r="F108" s="145"/>
      <c r="J108" s="229"/>
      <c r="K108" s="229"/>
      <c r="L108" s="229"/>
    </row>
    <row r="109" spans="1:12">
      <c r="A109" s="271" t="s">
        <v>252</v>
      </c>
      <c r="B109" s="3"/>
      <c r="C109" s="272">
        <f>+C101/C105</f>
        <v>1.0000000000000001E-5</v>
      </c>
      <c r="E109" s="337"/>
      <c r="F109" s="393">
        <f>+F101/F105</f>
        <v>0</v>
      </c>
      <c r="G109" s="272">
        <f>+G101/G105</f>
        <v>0</v>
      </c>
      <c r="H109" s="272">
        <f t="shared" ref="H109:J109" si="79">+H101/H105</f>
        <v>0</v>
      </c>
      <c r="I109" s="272">
        <f t="shared" si="79"/>
        <v>0</v>
      </c>
      <c r="J109" s="394">
        <f t="shared" si="79"/>
        <v>0</v>
      </c>
      <c r="K109" s="346"/>
      <c r="L109" s="124"/>
    </row>
    <row r="110" spans="1:12">
      <c r="A110" s="267" t="s">
        <v>253</v>
      </c>
      <c r="B110" s="169"/>
      <c r="C110" s="273">
        <f>+C101/C107</f>
        <v>2.7397260273972606E-8</v>
      </c>
      <c r="D110" s="335"/>
      <c r="E110" s="170"/>
      <c r="F110" s="395">
        <f>+F101/F107</f>
        <v>0</v>
      </c>
      <c r="G110" s="273">
        <f>+G101/G107</f>
        <v>0</v>
      </c>
      <c r="H110" s="273">
        <f t="shared" ref="H110:J110" si="80">+H101/H107</f>
        <v>0</v>
      </c>
      <c r="I110" s="273">
        <f t="shared" si="80"/>
        <v>0</v>
      </c>
      <c r="J110" s="345">
        <f t="shared" si="80"/>
        <v>0</v>
      </c>
      <c r="K110" s="346"/>
      <c r="L110" s="124"/>
    </row>
    <row r="111" spans="1:12">
      <c r="A111" s="35"/>
      <c r="B111" s="343" t="s">
        <v>265</v>
      </c>
      <c r="C111" s="344">
        <f>+C110*C107</f>
        <v>1.0000000000000001E-5</v>
      </c>
      <c r="F111" s="344">
        <f>+F110*F107</f>
        <v>0</v>
      </c>
      <c r="G111" s="344">
        <f>+G110*G107</f>
        <v>0</v>
      </c>
      <c r="H111" s="344">
        <f t="shared" ref="H111:I111" si="81">+H110*H107</f>
        <v>0</v>
      </c>
      <c r="I111" s="344">
        <f t="shared" si="81"/>
        <v>0</v>
      </c>
      <c r="J111" s="344">
        <f>+J110*J107</f>
        <v>0</v>
      </c>
      <c r="K111" s="344">
        <f>SUM(F111:J111)</f>
        <v>0</v>
      </c>
      <c r="L111" s="344">
        <f>+C111-K111</f>
        <v>1.0000000000000001E-5</v>
      </c>
    </row>
    <row r="112" spans="1:12">
      <c r="A112" s="35"/>
      <c r="C112" s="144"/>
    </row>
    <row r="113" spans="1:12">
      <c r="A113" s="35"/>
      <c r="B113" s="343" t="s">
        <v>266</v>
      </c>
      <c r="C113" s="274"/>
      <c r="F113" s="274"/>
      <c r="G113" s="274"/>
      <c r="H113" s="274"/>
      <c r="I113" s="274"/>
      <c r="J113" s="274"/>
    </row>
    <row r="114" spans="1:12">
      <c r="A114" s="233"/>
      <c r="B114" s="237"/>
      <c r="C114" s="275"/>
      <c r="D114" s="275"/>
      <c r="E114" s="275"/>
      <c r="F114" s="275"/>
      <c r="G114" s="275"/>
      <c r="H114" s="275"/>
      <c r="I114" s="275"/>
      <c r="J114" s="275"/>
      <c r="K114" s="275"/>
      <c r="L114" s="275"/>
    </row>
    <row r="115" spans="1:12">
      <c r="C115" s="148"/>
    </row>
    <row r="116" spans="1:12">
      <c r="C116" s="148"/>
    </row>
    <row r="117" spans="1:12">
      <c r="C117" s="276">
        <f>+C20</f>
        <v>0</v>
      </c>
    </row>
    <row r="118" spans="1:12">
      <c r="A118" s="127" t="s">
        <v>178</v>
      </c>
      <c r="C118" s="174" t="s">
        <v>22</v>
      </c>
    </row>
    <row r="119" spans="1:12">
      <c r="A119" s="176">
        <v>1</v>
      </c>
      <c r="B119" s="146" t="s">
        <v>170</v>
      </c>
      <c r="C119" s="148">
        <f>+C39+C44+C52</f>
        <v>1.0000000000000001E-5</v>
      </c>
    </row>
    <row r="120" spans="1:12">
      <c r="A120" s="176">
        <v>2</v>
      </c>
      <c r="B120" s="146" t="s">
        <v>171</v>
      </c>
      <c r="C120" s="173">
        <f>SUM(C66:C71)</f>
        <v>0</v>
      </c>
    </row>
    <row r="121" spans="1:12">
      <c r="A121" s="176">
        <v>3</v>
      </c>
      <c r="B121" s="146" t="s">
        <v>276</v>
      </c>
      <c r="C121" s="148">
        <f>SUM(C119:C120)</f>
        <v>1.0000000000000001E-5</v>
      </c>
    </row>
    <row r="122" spans="1:12">
      <c r="A122" s="176">
        <v>4</v>
      </c>
      <c r="B122" s="146" t="s">
        <v>11</v>
      </c>
      <c r="C122" s="173">
        <f>+C63</f>
        <v>0</v>
      </c>
    </row>
    <row r="123" spans="1:12">
      <c r="A123" s="176">
        <v>5</v>
      </c>
      <c r="B123" s="146" t="s">
        <v>277</v>
      </c>
      <c r="C123" s="148">
        <f>SUM(C121:C122)</f>
        <v>1.0000000000000001E-5</v>
      </c>
    </row>
    <row r="124" spans="1:12">
      <c r="A124" s="176">
        <v>6</v>
      </c>
      <c r="B124" s="146" t="s">
        <v>257</v>
      </c>
      <c r="C124" s="148">
        <f>+C54</f>
        <v>0</v>
      </c>
    </row>
    <row r="125" spans="1:12">
      <c r="A125" s="176">
        <v>7</v>
      </c>
      <c r="B125" s="146" t="s">
        <v>256</v>
      </c>
      <c r="C125" s="148">
        <f>+C55</f>
        <v>0</v>
      </c>
    </row>
    <row r="126" spans="1:12">
      <c r="A126" s="176">
        <v>8</v>
      </c>
      <c r="B126" s="146" t="s">
        <v>255</v>
      </c>
      <c r="C126" s="148">
        <f>SUM(C74:C76)</f>
        <v>0</v>
      </c>
    </row>
    <row r="127" spans="1:12">
      <c r="A127" s="176">
        <v>9</v>
      </c>
      <c r="B127" s="146" t="s">
        <v>172</v>
      </c>
      <c r="C127" s="173">
        <f>SUM(C79:C81)</f>
        <v>0</v>
      </c>
    </row>
    <row r="128" spans="1:12">
      <c r="A128" s="176">
        <v>10</v>
      </c>
      <c r="B128" s="146" t="s">
        <v>173</v>
      </c>
      <c r="C128" s="148">
        <f>SUM(C123:C127)</f>
        <v>1.0000000000000001E-5</v>
      </c>
    </row>
    <row r="129" spans="1:3">
      <c r="A129" s="176">
        <v>11</v>
      </c>
      <c r="B129" s="146" t="s">
        <v>174</v>
      </c>
      <c r="C129" s="173">
        <f>+C86</f>
        <v>0</v>
      </c>
    </row>
    <row r="130" spans="1:3">
      <c r="A130" s="176">
        <v>12</v>
      </c>
      <c r="B130" s="146" t="s">
        <v>175</v>
      </c>
      <c r="C130" s="148">
        <f>SUM(C128:C129)</f>
        <v>1.0000000000000001E-5</v>
      </c>
    </row>
    <row r="131" spans="1:3">
      <c r="A131" s="176">
        <v>13</v>
      </c>
      <c r="B131" s="146" t="s">
        <v>176</v>
      </c>
      <c r="C131" s="173">
        <f>SUM(C92:C93)</f>
        <v>0</v>
      </c>
    </row>
    <row r="132" spans="1:3">
      <c r="A132" s="176">
        <v>14</v>
      </c>
      <c r="B132" s="146" t="s">
        <v>177</v>
      </c>
      <c r="C132" s="148">
        <f>SUM(C130:C131)</f>
        <v>1.0000000000000001E-5</v>
      </c>
    </row>
    <row r="133" spans="1:3">
      <c r="A133" s="176">
        <v>15</v>
      </c>
      <c r="B133" s="146" t="s">
        <v>23</v>
      </c>
      <c r="C133" s="173">
        <f>+C91</f>
        <v>-1.0000000000000001E-5</v>
      </c>
    </row>
    <row r="134" spans="1:3">
      <c r="A134" s="176">
        <v>16</v>
      </c>
      <c r="B134" s="146" t="s">
        <v>179</v>
      </c>
      <c r="C134" s="148">
        <f>SUM(C132:C133)</f>
        <v>0</v>
      </c>
    </row>
    <row r="135" spans="1:3">
      <c r="A135" s="176">
        <v>17</v>
      </c>
      <c r="B135" s="4" t="s">
        <v>188</v>
      </c>
      <c r="C135" s="175">
        <f>-C134/(+C131+C133)</f>
        <v>0</v>
      </c>
    </row>
    <row r="136" spans="1:3">
      <c r="A136" s="176">
        <v>18</v>
      </c>
      <c r="B136" s="146" t="s">
        <v>258</v>
      </c>
      <c r="C136" s="148">
        <f>+C123+C131</f>
        <v>1.0000000000000001E-5</v>
      </c>
    </row>
    <row r="137" spans="1:3">
      <c r="A137" s="176">
        <v>19</v>
      </c>
      <c r="B137" s="146" t="s">
        <v>259</v>
      </c>
      <c r="C137" s="148">
        <f>+C132-C125</f>
        <v>1.0000000000000001E-5</v>
      </c>
    </row>
    <row r="141" spans="1:3">
      <c r="C141" s="148"/>
    </row>
  </sheetData>
  <mergeCells count="8">
    <mergeCell ref="A85:B85"/>
    <mergeCell ref="A90:B90"/>
    <mergeCell ref="A21:B21"/>
    <mergeCell ref="A40:B40"/>
    <mergeCell ref="A45:B45"/>
    <mergeCell ref="A53:B53"/>
    <mergeCell ref="A58:B58"/>
    <mergeCell ref="A64:B64"/>
  </mergeCells>
  <dataValidations disablePrompts="1" count="1">
    <dataValidation type="list" allowBlank="1" showInputMessage="1" showErrorMessage="1" sqref="C13:C14" xr:uid="{91B40983-3008-4A5B-8AA4-BFA61655F62E}">
      <formula1>"Takstberegning, Efterkalkulation"</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6"/>
  <sheetViews>
    <sheetView workbookViewId="0">
      <selection activeCell="M27" sqref="M27"/>
    </sheetView>
  </sheetViews>
  <sheetFormatPr defaultRowHeight="13.2"/>
  <sheetData>
    <row r="1" spans="1:8">
      <c r="A1" s="159" t="str">
        <f>+Takstberegning!A1</f>
        <v>BDO Statsautoriseret Revisionspartnerselskab 2025</v>
      </c>
      <c r="B1" s="146"/>
      <c r="C1" s="146"/>
      <c r="D1" s="146"/>
      <c r="E1" s="146"/>
      <c r="F1" s="146"/>
      <c r="G1" s="146"/>
      <c r="H1" s="146"/>
    </row>
    <row r="2" spans="1:8" ht="13.8">
      <c r="A2" s="133" t="str">
        <f>+Takstberegning!A4</f>
        <v xml:space="preserve">Beregning af omkostningsbaserede takster </v>
      </c>
      <c r="B2" s="146"/>
      <c r="C2" s="146"/>
      <c r="D2" s="146"/>
      <c r="E2" s="146"/>
      <c r="F2" s="146"/>
      <c r="G2" s="146"/>
      <c r="H2" s="146"/>
    </row>
    <row r="3" spans="1:8">
      <c r="A3" s="158" t="str">
        <f>+Takstberegning!A5</f>
        <v>for tilbud mv. iht. Finansieringsbekg. (jf. SEL § 174 &amp; BL § 195)</v>
      </c>
      <c r="B3" s="146"/>
      <c r="C3" s="146"/>
      <c r="D3" s="146"/>
      <c r="E3" s="146"/>
      <c r="F3" s="146"/>
      <c r="G3" s="146"/>
      <c r="H3" s="146"/>
    </row>
    <row r="4" spans="1:8">
      <c r="A4" s="279" t="s">
        <v>190</v>
      </c>
      <c r="B4" s="280"/>
      <c r="C4" s="280"/>
      <c r="D4" s="280"/>
      <c r="E4" s="280"/>
      <c r="F4" s="280"/>
      <c r="G4" s="280"/>
      <c r="H4" s="146"/>
    </row>
    <row r="5" spans="1:8">
      <c r="A5" s="280" t="s">
        <v>169</v>
      </c>
      <c r="B5" s="365">
        <f>+Takstberegning!C11</f>
        <v>0</v>
      </c>
      <c r="C5" s="280"/>
      <c r="D5" s="280"/>
      <c r="E5" s="280"/>
      <c r="F5" s="280"/>
      <c r="G5" s="280"/>
      <c r="H5" s="146"/>
    </row>
    <row r="6" spans="1:8">
      <c r="A6" s="281" t="s">
        <v>272</v>
      </c>
      <c r="B6" s="281">
        <f>+Takstberegning!C13</f>
        <v>0</v>
      </c>
      <c r="C6" s="280"/>
      <c r="D6" s="280"/>
      <c r="E6" s="280"/>
      <c r="F6" s="280"/>
      <c r="G6" s="280"/>
      <c r="H6" s="146"/>
    </row>
    <row r="7" spans="1:8">
      <c r="A7" s="281" t="str">
        <f>+Takstberegning!B14</f>
        <v xml:space="preserve">År: </v>
      </c>
      <c r="B7" s="281">
        <f>+Takstberegning!C14</f>
        <v>0</v>
      </c>
      <c r="C7" s="280"/>
      <c r="D7" s="280"/>
      <c r="E7" s="280"/>
      <c r="F7" s="280"/>
      <c r="G7" s="280"/>
      <c r="H7" s="146"/>
    </row>
    <row r="8" spans="1:8">
      <c r="A8" s="282" t="s">
        <v>67</v>
      </c>
      <c r="B8" s="282" t="s">
        <v>199</v>
      </c>
      <c r="C8" s="283" t="s">
        <v>194</v>
      </c>
      <c r="D8" s="283" t="s">
        <v>195</v>
      </c>
      <c r="E8" s="283" t="s">
        <v>196</v>
      </c>
      <c r="F8" s="284" t="s">
        <v>197</v>
      </c>
      <c r="G8" s="280"/>
      <c r="H8" s="146"/>
    </row>
    <row r="9" spans="1:8">
      <c r="A9" s="285" t="s">
        <v>65</v>
      </c>
      <c r="B9" s="285" t="str">
        <f>+Forside!I17</f>
        <v/>
      </c>
      <c r="C9" s="286" t="str">
        <f>+Forside!I18</f>
        <v/>
      </c>
      <c r="D9" s="286" t="str">
        <f>+Forside!I19</f>
        <v/>
      </c>
      <c r="E9" s="286" t="str">
        <f>+Forside!I20</f>
        <v/>
      </c>
      <c r="F9" s="287" t="str">
        <f>+Forside!I21</f>
        <v/>
      </c>
      <c r="G9" s="280"/>
      <c r="H9" s="146"/>
    </row>
    <row r="10" spans="1:8" ht="9" customHeight="1">
      <c r="A10" s="288"/>
      <c r="B10" s="288"/>
      <c r="C10" s="288"/>
      <c r="D10" s="288"/>
      <c r="E10" s="288"/>
      <c r="F10" s="288"/>
      <c r="G10" s="280"/>
      <c r="H10" s="146"/>
    </row>
    <row r="11" spans="1:8">
      <c r="A11" s="285" t="s">
        <v>98</v>
      </c>
      <c r="B11" s="308"/>
      <c r="C11" s="277"/>
      <c r="D11" s="277"/>
      <c r="E11" s="277"/>
      <c r="F11" s="278"/>
      <c r="G11" s="280"/>
      <c r="H11" s="146"/>
    </row>
    <row r="12" spans="1:8">
      <c r="A12" s="285" t="s">
        <v>67</v>
      </c>
      <c r="B12" s="285" t="str">
        <f>+B$8</f>
        <v>BAS</v>
      </c>
      <c r="C12" s="286" t="str">
        <f t="shared" ref="C12:F12" si="0">+C$8</f>
        <v>YN1</v>
      </c>
      <c r="D12" s="286" t="str">
        <f t="shared" si="0"/>
        <v>YN2</v>
      </c>
      <c r="E12" s="286" t="str">
        <f t="shared" si="0"/>
        <v>YN3</v>
      </c>
      <c r="F12" s="287" t="str">
        <f t="shared" si="0"/>
        <v>YN4</v>
      </c>
      <c r="G12" s="284" t="s">
        <v>97</v>
      </c>
      <c r="H12" s="146"/>
    </row>
    <row r="13" spans="1:8">
      <c r="A13" s="289" t="s">
        <v>103</v>
      </c>
      <c r="B13" s="311">
        <v>9.9999999999999995E-7</v>
      </c>
      <c r="C13" s="290"/>
      <c r="D13" s="290"/>
      <c r="E13" s="290"/>
      <c r="F13" s="290"/>
      <c r="G13" s="291">
        <f>SUM(B13:F13)</f>
        <v>9.9999999999999995E-7</v>
      </c>
      <c r="H13" s="146"/>
    </row>
    <row r="14" spans="1:8">
      <c r="A14" s="292" t="s">
        <v>96</v>
      </c>
      <c r="B14" s="293">
        <f>+B13/$G13</f>
        <v>1</v>
      </c>
      <c r="C14" s="294">
        <f>+C13/$G13</f>
        <v>0</v>
      </c>
      <c r="D14" s="294">
        <f>+D13/$G13</f>
        <v>0</v>
      </c>
      <c r="E14" s="294">
        <f>+E13/$G13</f>
        <v>0</v>
      </c>
      <c r="F14" s="294">
        <f>+F13/$G13</f>
        <v>0</v>
      </c>
      <c r="G14" s="295">
        <f>SUM(B14:F14)</f>
        <v>1</v>
      </c>
      <c r="H14" s="146"/>
    </row>
    <row r="15" spans="1:8" ht="9" customHeight="1">
      <c r="A15" s="280"/>
      <c r="B15" s="280"/>
      <c r="C15" s="280"/>
      <c r="D15" s="280"/>
      <c r="E15" s="280"/>
      <c r="F15" s="280"/>
      <c r="G15" s="280"/>
      <c r="H15" s="146"/>
    </row>
    <row r="16" spans="1:8">
      <c r="A16" s="285" t="s">
        <v>99</v>
      </c>
      <c r="B16" s="308"/>
      <c r="C16" s="277"/>
      <c r="D16" s="277"/>
      <c r="E16" s="401"/>
      <c r="F16" s="404" t="s">
        <v>308</v>
      </c>
      <c r="G16" s="280"/>
      <c r="H16" s="146"/>
    </row>
    <row r="17" spans="1:8">
      <c r="A17" s="285" t="s">
        <v>67</v>
      </c>
      <c r="B17" s="285" t="str">
        <f>+B$8</f>
        <v>BAS</v>
      </c>
      <c r="C17" s="286" t="str">
        <f t="shared" ref="C17:F17" si="1">+C$8</f>
        <v>YN1</v>
      </c>
      <c r="D17" s="286" t="str">
        <f t="shared" si="1"/>
        <v>YN2</v>
      </c>
      <c r="E17" s="286" t="str">
        <f t="shared" si="1"/>
        <v>YN3</v>
      </c>
      <c r="F17" s="287" t="str">
        <f t="shared" si="1"/>
        <v>YN4</v>
      </c>
      <c r="G17" s="284" t="s">
        <v>97</v>
      </c>
      <c r="H17" s="146"/>
    </row>
    <row r="18" spans="1:8">
      <c r="A18" s="289" t="s">
        <v>103</v>
      </c>
      <c r="B18" s="296"/>
      <c r="C18" s="309">
        <v>9.9999999999999995E-8</v>
      </c>
      <c r="D18" s="309">
        <v>9.9999999999999995E-8</v>
      </c>
      <c r="E18" s="309">
        <v>9.9999999999999995E-8</v>
      </c>
      <c r="F18" s="310">
        <v>9.9999999999999995E-8</v>
      </c>
      <c r="G18" s="291">
        <f>SUM(B18:F18)</f>
        <v>3.9999999999999998E-7</v>
      </c>
      <c r="H18" s="146"/>
    </row>
    <row r="19" spans="1:8">
      <c r="A19" s="292" t="s">
        <v>96</v>
      </c>
      <c r="B19" s="293">
        <f>+B18/$G18</f>
        <v>0</v>
      </c>
      <c r="C19" s="294">
        <f>+C18/$G18</f>
        <v>0.25</v>
      </c>
      <c r="D19" s="294">
        <f>+D18/$G18</f>
        <v>0.25</v>
      </c>
      <c r="E19" s="294">
        <f>+E18/$G18</f>
        <v>0.25</v>
      </c>
      <c r="F19" s="294">
        <f>+F18/$G18</f>
        <v>0.25</v>
      </c>
      <c r="G19" s="295">
        <f>SUM(B19:F19)</f>
        <v>1</v>
      </c>
      <c r="H19" s="146"/>
    </row>
    <row r="20" spans="1:8" ht="9" customHeight="1">
      <c r="A20" s="280"/>
      <c r="B20" s="280"/>
      <c r="C20" s="280"/>
      <c r="D20" s="280"/>
      <c r="E20" s="280"/>
      <c r="F20" s="280"/>
      <c r="G20" s="280"/>
      <c r="H20" s="146"/>
    </row>
    <row r="21" spans="1:8">
      <c r="A21" s="285" t="s">
        <v>100</v>
      </c>
      <c r="B21" s="308"/>
      <c r="C21" s="277"/>
      <c r="D21" s="277"/>
      <c r="E21" s="277"/>
      <c r="F21" s="278"/>
      <c r="G21" s="280"/>
      <c r="H21" s="146"/>
    </row>
    <row r="22" spans="1:8">
      <c r="A22" s="285" t="s">
        <v>67</v>
      </c>
      <c r="B22" s="285" t="str">
        <f>+B$8</f>
        <v>BAS</v>
      </c>
      <c r="C22" s="286" t="str">
        <f t="shared" ref="C22:F22" si="2">+C$8</f>
        <v>YN1</v>
      </c>
      <c r="D22" s="286" t="str">
        <f t="shared" si="2"/>
        <v>YN2</v>
      </c>
      <c r="E22" s="286" t="str">
        <f t="shared" si="2"/>
        <v>YN3</v>
      </c>
      <c r="F22" s="287" t="str">
        <f t="shared" si="2"/>
        <v>YN4</v>
      </c>
      <c r="G22" s="284" t="s">
        <v>97</v>
      </c>
      <c r="H22" s="146"/>
    </row>
    <row r="23" spans="1:8">
      <c r="A23" s="289" t="s">
        <v>103</v>
      </c>
      <c r="B23" s="296"/>
      <c r="C23" s="309">
        <v>9.9999999999999995E-8</v>
      </c>
      <c r="D23" s="309">
        <v>9.9999999999999995E-8</v>
      </c>
      <c r="E23" s="309">
        <v>9.9999999999999995E-8</v>
      </c>
      <c r="F23" s="310">
        <v>9.9999999999999995E-8</v>
      </c>
      <c r="G23" s="291">
        <f>SUM(B23:F23)</f>
        <v>3.9999999999999998E-7</v>
      </c>
      <c r="H23" s="146"/>
    </row>
    <row r="24" spans="1:8">
      <c r="A24" s="292" t="s">
        <v>96</v>
      </c>
      <c r="B24" s="293">
        <f>+B23/$G23</f>
        <v>0</v>
      </c>
      <c r="C24" s="294">
        <f>+C23/$G23</f>
        <v>0.25</v>
      </c>
      <c r="D24" s="294">
        <f>+D23/$G23</f>
        <v>0.25</v>
      </c>
      <c r="E24" s="294">
        <f>+E23/$G23</f>
        <v>0.25</v>
      </c>
      <c r="F24" s="294">
        <f>+F23/$G23</f>
        <v>0.25</v>
      </c>
      <c r="G24" s="295">
        <f>SUM(B24:F24)</f>
        <v>1</v>
      </c>
      <c r="H24" s="146"/>
    </row>
    <row r="25" spans="1:8" ht="9" customHeight="1">
      <c r="A25" s="280"/>
      <c r="B25" s="280"/>
      <c r="C25" s="280"/>
      <c r="D25" s="280"/>
      <c r="E25" s="280"/>
      <c r="F25" s="280"/>
      <c r="G25" s="280"/>
      <c r="H25" s="146"/>
    </row>
    <row r="26" spans="1:8">
      <c r="A26" s="285" t="s">
        <v>101</v>
      </c>
      <c r="B26" s="308"/>
      <c r="C26" s="277"/>
      <c r="D26" s="277"/>
      <c r="E26" s="277"/>
      <c r="F26" s="278"/>
      <c r="G26" s="280"/>
      <c r="H26" s="146"/>
    </row>
    <row r="27" spans="1:8">
      <c r="A27" s="285" t="s">
        <v>67</v>
      </c>
      <c r="B27" s="285" t="str">
        <f>+B$8</f>
        <v>BAS</v>
      </c>
      <c r="C27" s="286" t="str">
        <f t="shared" ref="C27:F27" si="3">+C$8</f>
        <v>YN1</v>
      </c>
      <c r="D27" s="286" t="str">
        <f t="shared" si="3"/>
        <v>YN2</v>
      </c>
      <c r="E27" s="286" t="str">
        <f t="shared" si="3"/>
        <v>YN3</v>
      </c>
      <c r="F27" s="287" t="str">
        <f t="shared" si="3"/>
        <v>YN4</v>
      </c>
      <c r="G27" s="284" t="s">
        <v>97</v>
      </c>
      <c r="H27" s="146"/>
    </row>
    <row r="28" spans="1:8">
      <c r="A28" s="289" t="s">
        <v>103</v>
      </c>
      <c r="B28" s="296"/>
      <c r="C28" s="309">
        <v>9.9999999999999995E-8</v>
      </c>
      <c r="D28" s="309">
        <v>9.9999999999999995E-8</v>
      </c>
      <c r="E28" s="309">
        <v>9.9999999999999995E-8</v>
      </c>
      <c r="F28" s="310">
        <v>9.9999999999999995E-8</v>
      </c>
      <c r="G28" s="291">
        <f>SUM(B28:F28)</f>
        <v>3.9999999999999998E-7</v>
      </c>
      <c r="H28" s="146"/>
    </row>
    <row r="29" spans="1:8">
      <c r="A29" s="292" t="s">
        <v>96</v>
      </c>
      <c r="B29" s="293">
        <f>+B28/$G28</f>
        <v>0</v>
      </c>
      <c r="C29" s="294">
        <f>+C28/$G28</f>
        <v>0.25</v>
      </c>
      <c r="D29" s="294">
        <f>+D28/$G28</f>
        <v>0.25</v>
      </c>
      <c r="E29" s="294">
        <f>+E28/$G28</f>
        <v>0.25</v>
      </c>
      <c r="F29" s="294">
        <f>+F28/$G28</f>
        <v>0.25</v>
      </c>
      <c r="G29" s="295">
        <f>SUM(B29:F29)</f>
        <v>1</v>
      </c>
      <c r="H29" s="146"/>
    </row>
    <row r="30" spans="1:8" ht="9" customHeight="1">
      <c r="A30" s="280"/>
      <c r="B30" s="280"/>
      <c r="C30" s="280"/>
      <c r="D30" s="280"/>
      <c r="E30" s="280"/>
      <c r="F30" s="280"/>
      <c r="G30" s="280"/>
      <c r="H30" s="146"/>
    </row>
    <row r="31" spans="1:8">
      <c r="A31" s="285" t="s">
        <v>102</v>
      </c>
      <c r="B31" s="402"/>
      <c r="C31" s="277"/>
      <c r="D31" s="277"/>
      <c r="E31" s="277"/>
      <c r="F31" s="278"/>
      <c r="G31" s="280"/>
      <c r="H31" s="146"/>
    </row>
    <row r="32" spans="1:8">
      <c r="A32" s="285" t="s">
        <v>67</v>
      </c>
      <c r="B32" s="285" t="str">
        <f>+B$8</f>
        <v>BAS</v>
      </c>
      <c r="C32" s="286" t="str">
        <f t="shared" ref="C32:F32" si="4">+C$8</f>
        <v>YN1</v>
      </c>
      <c r="D32" s="286" t="str">
        <f t="shared" si="4"/>
        <v>YN2</v>
      </c>
      <c r="E32" s="286" t="str">
        <f t="shared" si="4"/>
        <v>YN3</v>
      </c>
      <c r="F32" s="287" t="str">
        <f t="shared" si="4"/>
        <v>YN4</v>
      </c>
      <c r="G32" s="284" t="s">
        <v>97</v>
      </c>
      <c r="H32" s="146"/>
    </row>
    <row r="33" spans="1:8">
      <c r="A33" s="289" t="s">
        <v>103</v>
      </c>
      <c r="B33" s="311">
        <v>9.9999999999999995E-7</v>
      </c>
      <c r="C33" s="309"/>
      <c r="D33" s="309"/>
      <c r="E33" s="309"/>
      <c r="F33" s="310"/>
      <c r="G33" s="291">
        <f>SUM(B33:F33)</f>
        <v>9.9999999999999995E-7</v>
      </c>
      <c r="H33" s="146"/>
    </row>
    <row r="34" spans="1:8">
      <c r="A34" s="292" t="s">
        <v>96</v>
      </c>
      <c r="B34" s="293">
        <f>+B33/$G33</f>
        <v>1</v>
      </c>
      <c r="C34" s="294">
        <f>+C33/$G33</f>
        <v>0</v>
      </c>
      <c r="D34" s="294">
        <f>+D33/$G33</f>
        <v>0</v>
      </c>
      <c r="E34" s="294">
        <f>+E33/$G33</f>
        <v>0</v>
      </c>
      <c r="F34" s="294">
        <f>+F33/$G33</f>
        <v>0</v>
      </c>
      <c r="G34" s="295">
        <f>SUM(B34:F34)</f>
        <v>1</v>
      </c>
      <c r="H34" s="146"/>
    </row>
    <row r="35" spans="1:8" ht="9" customHeight="1">
      <c r="A35" s="280"/>
      <c r="B35" s="280"/>
      <c r="C35" s="280"/>
      <c r="D35" s="280"/>
      <c r="E35" s="280"/>
      <c r="F35" s="280"/>
      <c r="G35" s="280"/>
      <c r="H35" s="146"/>
    </row>
    <row r="36" spans="1:8">
      <c r="A36" s="280"/>
      <c r="B36" s="280"/>
      <c r="C36" s="280"/>
      <c r="D36" s="280"/>
      <c r="E36" s="280"/>
      <c r="F36" s="280"/>
      <c r="G36" s="280"/>
      <c r="H36" s="146"/>
    </row>
    <row r="37" spans="1:8">
      <c r="A37" s="285" t="s">
        <v>167</v>
      </c>
      <c r="B37" s="331" t="s">
        <v>168</v>
      </c>
      <c r="C37" s="332"/>
      <c r="D37" s="332"/>
      <c r="E37" s="332"/>
      <c r="F37" s="333"/>
      <c r="G37" s="280"/>
      <c r="H37" s="146"/>
    </row>
    <row r="38" spans="1:8">
      <c r="A38" s="285" t="s">
        <v>67</v>
      </c>
      <c r="B38" s="285" t="str">
        <f>+B$8</f>
        <v>BAS</v>
      </c>
      <c r="C38" s="286" t="str">
        <f t="shared" ref="C38:F38" si="5">+C$8</f>
        <v>YN1</v>
      </c>
      <c r="D38" s="286" t="str">
        <f t="shared" si="5"/>
        <v>YN2</v>
      </c>
      <c r="E38" s="286" t="str">
        <f t="shared" si="5"/>
        <v>YN3</v>
      </c>
      <c r="F38" s="287" t="str">
        <f t="shared" si="5"/>
        <v>YN4</v>
      </c>
      <c r="G38" s="297" t="s">
        <v>97</v>
      </c>
      <c r="H38" s="146"/>
    </row>
    <row r="39" spans="1:8">
      <c r="A39" s="292" t="s">
        <v>96</v>
      </c>
      <c r="B39" s="293">
        <f>+Takstberegning!F16</f>
        <v>0</v>
      </c>
      <c r="C39" s="294">
        <f>+Takstberegning!G16</f>
        <v>0</v>
      </c>
      <c r="D39" s="294">
        <f>+Takstberegning!H16</f>
        <v>0</v>
      </c>
      <c r="E39" s="294">
        <f>+Takstberegning!I16</f>
        <v>0</v>
      </c>
      <c r="F39" s="294">
        <f>+Takstberegning!J16</f>
        <v>0</v>
      </c>
      <c r="G39" s="295">
        <f>SUM(B39:F39)</f>
        <v>0</v>
      </c>
      <c r="H39" s="146"/>
    </row>
    <row r="40" spans="1:8">
      <c r="A40" s="146"/>
      <c r="B40" s="146"/>
      <c r="C40" s="146"/>
      <c r="D40" s="146"/>
      <c r="E40" s="146"/>
      <c r="F40" s="146"/>
      <c r="G40" s="146"/>
      <c r="H40" s="146"/>
    </row>
    <row r="41" spans="1:8">
      <c r="A41" s="146"/>
      <c r="B41" s="146"/>
      <c r="C41" s="146"/>
      <c r="D41" s="146"/>
      <c r="E41" s="146"/>
      <c r="F41" s="146"/>
      <c r="G41" s="146"/>
      <c r="H41" s="146"/>
    </row>
    <row r="42" spans="1:8">
      <c r="A42" s="146"/>
      <c r="B42" s="146"/>
      <c r="C42" s="146"/>
      <c r="D42" s="146"/>
      <c r="E42" s="146"/>
      <c r="F42" s="146"/>
      <c r="G42" s="146"/>
      <c r="H42" s="146"/>
    </row>
    <row r="43" spans="1:8">
      <c r="A43" s="146"/>
      <c r="B43" s="146"/>
      <c r="C43" s="146"/>
      <c r="D43" s="146"/>
      <c r="E43" s="146"/>
      <c r="F43" s="146"/>
      <c r="G43" s="146"/>
      <c r="H43" s="146"/>
    </row>
    <row r="44" spans="1:8">
      <c r="A44" s="3" t="s">
        <v>198</v>
      </c>
      <c r="B44" s="146"/>
      <c r="C44" s="146"/>
      <c r="D44" s="146"/>
      <c r="E44" s="146"/>
      <c r="F44" s="146"/>
      <c r="G44" s="146"/>
      <c r="H44" s="146"/>
    </row>
    <row r="45" spans="1:8">
      <c r="A45" s="146"/>
      <c r="B45" s="146"/>
      <c r="C45" s="146"/>
      <c r="D45" s="146"/>
      <c r="E45" s="146"/>
      <c r="F45" s="146"/>
      <c r="G45" s="146"/>
      <c r="H45" s="146"/>
    </row>
    <row r="46" spans="1:8">
      <c r="A46" s="146"/>
      <c r="B46" s="366" t="str">
        <f>+B$8</f>
        <v>BAS</v>
      </c>
      <c r="C46" s="42" t="str">
        <f t="shared" ref="C46:F46" si="6">+C$8</f>
        <v>YN1</v>
      </c>
      <c r="D46" s="42" t="str">
        <f t="shared" si="6"/>
        <v>YN2</v>
      </c>
      <c r="E46" s="42" t="str">
        <f t="shared" si="6"/>
        <v>YN3</v>
      </c>
      <c r="F46" s="43" t="str">
        <f t="shared" si="6"/>
        <v>YN4</v>
      </c>
      <c r="G46" s="146" t="s">
        <v>181</v>
      </c>
      <c r="H46" s="146"/>
    </row>
    <row r="47" spans="1:8">
      <c r="A47" s="146" t="s">
        <v>200</v>
      </c>
      <c r="B47" s="298">
        <f>+Takstberegning!F103</f>
        <v>1</v>
      </c>
      <c r="C47" s="299">
        <f>+Takstberegning!G103</f>
        <v>9.9999999999999995E-8</v>
      </c>
      <c r="D47" s="299">
        <f>+Takstberegning!H103</f>
        <v>9.9999999999999995E-8</v>
      </c>
      <c r="E47" s="299">
        <f>+Takstberegning!I103</f>
        <v>9.9999999999999995E-8</v>
      </c>
      <c r="F47" s="300">
        <f>+Takstberegning!J103</f>
        <v>9.9999999999999995E-8</v>
      </c>
      <c r="G47" s="146">
        <f>SUM(C47:F47)</f>
        <v>3.9999999999999998E-7</v>
      </c>
      <c r="H47" s="146"/>
    </row>
    <row r="48" spans="1:8">
      <c r="A48" s="146" t="s">
        <v>201</v>
      </c>
      <c r="B48" s="301">
        <f>+Takstberegning!F104</f>
        <v>1</v>
      </c>
      <c r="C48" s="302">
        <f>+Takstberegning!G104</f>
        <v>1</v>
      </c>
      <c r="D48" s="302">
        <f>+Takstberegning!H104</f>
        <v>1</v>
      </c>
      <c r="E48" s="302">
        <f>+Takstberegning!I104</f>
        <v>1</v>
      </c>
      <c r="F48" s="303">
        <f>+Takstberegning!J104</f>
        <v>1</v>
      </c>
      <c r="G48" s="146"/>
      <c r="H48" s="146"/>
    </row>
    <row r="49" spans="1:8">
      <c r="A49" s="146" t="s">
        <v>273</v>
      </c>
      <c r="B49" s="304">
        <f>+B47*B48</f>
        <v>1</v>
      </c>
      <c r="C49" s="305">
        <f t="shared" ref="C49:F49" si="7">+C47*C48</f>
        <v>9.9999999999999995E-8</v>
      </c>
      <c r="D49" s="305">
        <f t="shared" si="7"/>
        <v>9.9999999999999995E-8</v>
      </c>
      <c r="E49" s="305">
        <f t="shared" si="7"/>
        <v>9.9999999999999995E-8</v>
      </c>
      <c r="F49" s="306">
        <f t="shared" si="7"/>
        <v>9.9999999999999995E-8</v>
      </c>
      <c r="G49" s="307">
        <f>SUM(C49:F49)</f>
        <v>3.9999999999999998E-7</v>
      </c>
      <c r="H49" s="146"/>
    </row>
    <row r="50" spans="1:8">
      <c r="A50" s="146"/>
      <c r="B50" s="146"/>
      <c r="C50" s="146"/>
      <c r="D50" s="146"/>
      <c r="E50" s="146"/>
      <c r="F50" s="146"/>
      <c r="G50" s="146"/>
      <c r="H50" s="146"/>
    </row>
    <row r="51" spans="1:8">
      <c r="A51" s="146"/>
      <c r="B51" s="146"/>
      <c r="C51" s="146"/>
      <c r="D51" s="146"/>
      <c r="E51" s="146"/>
      <c r="F51" s="146"/>
      <c r="G51" s="146"/>
      <c r="H51" s="146"/>
    </row>
    <row r="52" spans="1:8">
      <c r="A52" s="3" t="s">
        <v>202</v>
      </c>
      <c r="B52" s="146"/>
      <c r="C52" s="146"/>
      <c r="D52" s="146"/>
      <c r="E52" s="146"/>
      <c r="F52" s="146"/>
      <c r="G52" s="146"/>
      <c r="H52" s="146"/>
    </row>
    <row r="53" spans="1:8">
      <c r="A53" s="146"/>
      <c r="B53" s="146"/>
      <c r="C53" s="146"/>
      <c r="D53" s="146"/>
      <c r="E53" s="146"/>
      <c r="F53" s="146"/>
      <c r="G53" s="146"/>
      <c r="H53" s="146"/>
    </row>
    <row r="54" spans="1:8">
      <c r="A54" s="146"/>
      <c r="B54" s="41" t="str">
        <f>+B$8</f>
        <v>BAS</v>
      </c>
      <c r="C54" s="42" t="str">
        <f t="shared" ref="C54:F54" si="8">+C$8</f>
        <v>YN1</v>
      </c>
      <c r="D54" s="42" t="str">
        <f t="shared" si="8"/>
        <v>YN2</v>
      </c>
      <c r="E54" s="42" t="str">
        <f t="shared" si="8"/>
        <v>YN3</v>
      </c>
      <c r="F54" s="43" t="str">
        <f t="shared" si="8"/>
        <v>YN4</v>
      </c>
      <c r="G54" s="146"/>
      <c r="H54" s="146"/>
    </row>
    <row r="55" spans="1:8">
      <c r="A55" s="146" t="s">
        <v>203</v>
      </c>
      <c r="B55" s="146"/>
      <c r="C55" s="322"/>
      <c r="D55" s="323"/>
      <c r="E55" s="323"/>
      <c r="F55" s="324"/>
      <c r="G55" s="146"/>
      <c r="H55" s="146"/>
    </row>
    <row r="56" spans="1:8">
      <c r="A56" s="146"/>
      <c r="B56" s="146"/>
      <c r="C56" s="146"/>
      <c r="D56" s="146"/>
      <c r="E56" s="146"/>
      <c r="F56" s="146"/>
      <c r="G56" s="146"/>
      <c r="H56" s="146"/>
    </row>
    <row r="57" spans="1:8">
      <c r="A57" s="146"/>
      <c r="B57" s="146"/>
      <c r="C57" s="146"/>
      <c r="D57" s="146"/>
      <c r="E57" s="146"/>
      <c r="F57" s="146"/>
      <c r="G57" s="146"/>
      <c r="H57" s="146"/>
    </row>
    <row r="58" spans="1:8">
      <c r="A58" s="146"/>
      <c r="B58" s="146"/>
      <c r="C58" s="146"/>
      <c r="D58" s="146"/>
      <c r="E58" s="146"/>
      <c r="F58" s="146"/>
      <c r="G58" s="146"/>
      <c r="H58" s="146"/>
    </row>
    <row r="59" spans="1:8">
      <c r="A59" s="146"/>
      <c r="B59" s="146"/>
      <c r="C59" s="146"/>
      <c r="D59" s="146"/>
      <c r="E59" s="146"/>
      <c r="F59" s="146"/>
      <c r="G59" s="146"/>
      <c r="H59" s="146"/>
    </row>
    <row r="60" spans="1:8">
      <c r="A60" s="146"/>
      <c r="B60" s="146"/>
      <c r="C60" s="146"/>
      <c r="D60" s="146"/>
      <c r="E60" s="146"/>
      <c r="F60" s="146"/>
      <c r="G60" s="146"/>
      <c r="H60" s="146"/>
    </row>
    <row r="61" spans="1:8">
      <c r="A61" s="146"/>
      <c r="B61" s="146"/>
      <c r="C61" s="146"/>
      <c r="D61" s="146"/>
      <c r="E61" s="146"/>
      <c r="F61" s="146"/>
      <c r="G61" s="146"/>
      <c r="H61" s="146"/>
    </row>
    <row r="62" spans="1:8">
      <c r="A62" s="146"/>
      <c r="B62" s="146"/>
      <c r="C62" s="146"/>
      <c r="D62" s="146"/>
      <c r="E62" s="146"/>
      <c r="F62" s="146"/>
      <c r="G62" s="146"/>
      <c r="H62" s="146"/>
    </row>
    <row r="63" spans="1:8">
      <c r="A63" s="146"/>
      <c r="B63" s="146"/>
      <c r="C63" s="146"/>
      <c r="D63" s="146"/>
      <c r="E63" s="146"/>
      <c r="F63" s="146"/>
      <c r="G63" s="146"/>
      <c r="H63" s="146"/>
    </row>
    <row r="64" spans="1:8">
      <c r="A64" s="146"/>
      <c r="B64" s="146"/>
      <c r="C64" s="146"/>
      <c r="D64" s="146"/>
      <c r="E64" s="146"/>
      <c r="F64" s="146"/>
      <c r="G64" s="146"/>
      <c r="H64" s="146"/>
    </row>
    <row r="65" spans="1:8">
      <c r="A65" s="146"/>
      <c r="B65" s="146"/>
      <c r="C65" s="146"/>
      <c r="D65" s="146"/>
      <c r="E65" s="146"/>
      <c r="F65" s="146"/>
      <c r="G65" s="146"/>
      <c r="H65" s="146"/>
    </row>
    <row r="66" spans="1:8">
      <c r="A66" s="146"/>
      <c r="B66" s="146"/>
      <c r="C66" s="146"/>
      <c r="D66" s="146"/>
      <c r="E66" s="146"/>
      <c r="F66" s="146"/>
      <c r="G66" s="146"/>
      <c r="H66" s="146"/>
    </row>
    <row r="67" spans="1:8">
      <c r="A67" s="146"/>
      <c r="B67" s="146"/>
      <c r="C67" s="146"/>
      <c r="D67" s="146"/>
      <c r="E67" s="146"/>
      <c r="F67" s="146"/>
      <c r="G67" s="146"/>
      <c r="H67" s="146"/>
    </row>
    <row r="68" spans="1:8">
      <c r="A68" s="146"/>
      <c r="B68" s="146"/>
      <c r="C68" s="146"/>
      <c r="D68" s="146"/>
      <c r="E68" s="146"/>
      <c r="F68" s="146"/>
      <c r="G68" s="146"/>
      <c r="H68" s="146"/>
    </row>
    <row r="69" spans="1:8">
      <c r="A69" s="146"/>
      <c r="B69" s="146"/>
      <c r="C69" s="146"/>
      <c r="D69" s="146"/>
      <c r="E69" s="146"/>
      <c r="F69" s="146"/>
      <c r="G69" s="146"/>
      <c r="H69" s="146"/>
    </row>
    <row r="70" spans="1:8">
      <c r="A70" s="146"/>
      <c r="B70" s="146"/>
      <c r="C70" s="146"/>
      <c r="D70" s="146"/>
      <c r="E70" s="146"/>
      <c r="F70" s="146"/>
      <c r="G70" s="146"/>
      <c r="H70" s="146"/>
    </row>
    <row r="71" spans="1:8">
      <c r="A71" s="146"/>
      <c r="B71" s="146"/>
      <c r="C71" s="146"/>
      <c r="D71" s="146"/>
      <c r="E71" s="146"/>
      <c r="F71" s="146"/>
      <c r="G71" s="146"/>
      <c r="H71" s="146"/>
    </row>
    <row r="72" spans="1:8">
      <c r="A72" s="146"/>
      <c r="B72" s="146"/>
      <c r="C72" s="146"/>
      <c r="D72" s="146"/>
      <c r="E72" s="146"/>
      <c r="F72" s="146"/>
      <c r="G72" s="146"/>
      <c r="H72" s="146"/>
    </row>
    <row r="73" spans="1:8">
      <c r="A73" s="146"/>
      <c r="B73" s="146"/>
      <c r="C73" s="146"/>
      <c r="D73" s="146"/>
      <c r="E73" s="146"/>
      <c r="F73" s="146"/>
      <c r="G73" s="146"/>
      <c r="H73" s="146"/>
    </row>
    <row r="74" spans="1:8">
      <c r="A74" s="146"/>
      <c r="B74" s="146"/>
      <c r="C74" s="146"/>
      <c r="D74" s="146"/>
      <c r="E74" s="146"/>
      <c r="F74" s="146"/>
      <c r="G74" s="146"/>
      <c r="H74" s="146"/>
    </row>
    <row r="75" spans="1:8">
      <c r="A75" s="146"/>
      <c r="B75" s="146"/>
      <c r="C75" s="146"/>
      <c r="D75" s="146"/>
      <c r="E75" s="146"/>
      <c r="F75" s="146"/>
      <c r="G75" s="146"/>
      <c r="H75" s="146"/>
    </row>
    <row r="76" spans="1:8">
      <c r="A76" s="146"/>
      <c r="B76" s="146"/>
      <c r="C76" s="146"/>
      <c r="D76" s="146"/>
      <c r="E76" s="146"/>
      <c r="F76" s="146"/>
      <c r="G76" s="146"/>
      <c r="H76" s="146"/>
    </row>
    <row r="77" spans="1:8">
      <c r="A77" s="146"/>
      <c r="B77" s="146"/>
      <c r="C77" s="146"/>
      <c r="D77" s="146"/>
      <c r="E77" s="146"/>
      <c r="F77" s="146"/>
      <c r="G77" s="146"/>
      <c r="H77" s="146"/>
    </row>
    <row r="78" spans="1:8">
      <c r="A78" s="146"/>
      <c r="B78" s="146"/>
      <c r="C78" s="146"/>
      <c r="D78" s="146"/>
      <c r="E78" s="146"/>
      <c r="F78" s="146"/>
      <c r="G78" s="146"/>
      <c r="H78" s="146"/>
    </row>
    <row r="79" spans="1:8">
      <c r="A79" s="146"/>
      <c r="B79" s="146"/>
      <c r="C79" s="146"/>
      <c r="D79" s="146"/>
      <c r="E79" s="146"/>
      <c r="F79" s="146"/>
      <c r="G79" s="146"/>
      <c r="H79" s="146"/>
    </row>
    <row r="80" spans="1:8">
      <c r="A80" s="146"/>
      <c r="B80" s="146"/>
      <c r="C80" s="146"/>
      <c r="D80" s="146"/>
      <c r="E80" s="146"/>
      <c r="F80" s="146"/>
      <c r="G80" s="146"/>
      <c r="H80" s="146"/>
    </row>
    <row r="81" spans="1:8">
      <c r="A81" s="146"/>
      <c r="B81" s="146"/>
      <c r="C81" s="146"/>
      <c r="D81" s="146"/>
      <c r="E81" s="146"/>
      <c r="F81" s="146"/>
      <c r="G81" s="146"/>
      <c r="H81" s="146"/>
    </row>
    <row r="82" spans="1:8">
      <c r="A82" s="146"/>
      <c r="B82" s="146"/>
      <c r="C82" s="146"/>
      <c r="D82" s="146"/>
      <c r="E82" s="146"/>
      <c r="F82" s="146"/>
      <c r="G82" s="146"/>
      <c r="H82" s="146"/>
    </row>
    <row r="83" spans="1:8">
      <c r="A83" s="146"/>
      <c r="B83" s="146"/>
      <c r="C83" s="146"/>
      <c r="D83" s="146"/>
      <c r="E83" s="146"/>
      <c r="F83" s="146"/>
      <c r="G83" s="146"/>
      <c r="H83" s="146"/>
    </row>
    <row r="84" spans="1:8">
      <c r="A84" s="146"/>
      <c r="B84" s="146"/>
      <c r="C84" s="146"/>
      <c r="D84" s="146"/>
      <c r="E84" s="146"/>
      <c r="F84" s="146"/>
      <c r="G84" s="146"/>
      <c r="H84" s="146"/>
    </row>
    <row r="85" spans="1:8">
      <c r="A85" s="146"/>
      <c r="B85" s="146"/>
      <c r="C85" s="146"/>
      <c r="D85" s="146"/>
      <c r="E85" s="146"/>
      <c r="F85" s="146"/>
      <c r="G85" s="146"/>
      <c r="H85" s="146"/>
    </row>
    <row r="86" spans="1:8">
      <c r="A86" s="146"/>
      <c r="B86" s="146"/>
      <c r="C86" s="146"/>
      <c r="D86" s="146"/>
      <c r="E86" s="146"/>
      <c r="F86" s="146"/>
      <c r="G86" s="146"/>
      <c r="H86" s="146"/>
    </row>
    <row r="87" spans="1:8">
      <c r="A87" s="146"/>
      <c r="B87" s="146"/>
      <c r="C87" s="146"/>
      <c r="D87" s="146"/>
      <c r="E87" s="146"/>
      <c r="F87" s="146"/>
      <c r="G87" s="146"/>
      <c r="H87" s="146"/>
    </row>
    <row r="88" spans="1:8">
      <c r="A88" s="146"/>
      <c r="B88" s="146"/>
      <c r="C88" s="146"/>
      <c r="D88" s="146"/>
      <c r="E88" s="146"/>
      <c r="F88" s="146"/>
      <c r="G88" s="146"/>
      <c r="H88" s="146"/>
    </row>
    <row r="89" spans="1:8">
      <c r="A89" s="146"/>
      <c r="B89" s="146"/>
      <c r="C89" s="146"/>
      <c r="D89" s="146"/>
      <c r="E89" s="146"/>
      <c r="F89" s="146"/>
      <c r="G89" s="146"/>
      <c r="H89" s="146"/>
    </row>
    <row r="90" spans="1:8">
      <c r="A90" s="146"/>
      <c r="B90" s="146"/>
      <c r="C90" s="146"/>
      <c r="D90" s="146"/>
      <c r="E90" s="146"/>
      <c r="F90" s="146"/>
      <c r="G90" s="146"/>
      <c r="H90" s="146"/>
    </row>
    <row r="91" spans="1:8">
      <c r="A91" s="146"/>
      <c r="B91" s="146"/>
      <c r="C91" s="146"/>
      <c r="D91" s="146"/>
      <c r="E91" s="146"/>
      <c r="F91" s="146"/>
      <c r="G91" s="146"/>
      <c r="H91" s="146"/>
    </row>
    <row r="92" spans="1:8">
      <c r="A92" s="146"/>
      <c r="B92" s="146"/>
      <c r="C92" s="146"/>
      <c r="D92" s="146"/>
      <c r="E92" s="146"/>
      <c r="F92" s="146"/>
      <c r="G92" s="146"/>
      <c r="H92" s="146"/>
    </row>
    <row r="93" spans="1:8">
      <c r="A93" s="146"/>
      <c r="B93" s="146"/>
      <c r="C93" s="146"/>
      <c r="D93" s="146"/>
      <c r="E93" s="146"/>
      <c r="F93" s="146"/>
      <c r="G93" s="146"/>
      <c r="H93" s="146"/>
    </row>
    <row r="94" spans="1:8">
      <c r="A94" s="146"/>
      <c r="B94" s="146"/>
      <c r="C94" s="146"/>
      <c r="D94" s="146"/>
      <c r="E94" s="146"/>
      <c r="F94" s="146"/>
      <c r="G94" s="146"/>
      <c r="H94" s="146"/>
    </row>
    <row r="95" spans="1:8">
      <c r="A95" s="146"/>
      <c r="B95" s="146"/>
      <c r="C95" s="146"/>
      <c r="D95" s="146"/>
      <c r="E95" s="146"/>
      <c r="F95" s="146"/>
      <c r="G95" s="146"/>
      <c r="H95" s="146"/>
    </row>
    <row r="96" spans="1:8">
      <c r="A96" s="146"/>
      <c r="B96" s="146"/>
      <c r="C96" s="146"/>
      <c r="D96" s="146"/>
      <c r="E96" s="146"/>
      <c r="F96" s="146"/>
      <c r="G96" s="146"/>
      <c r="H96" s="146"/>
    </row>
    <row r="97" spans="1:8">
      <c r="A97" s="146"/>
      <c r="B97" s="146"/>
      <c r="C97" s="146"/>
      <c r="D97" s="146"/>
      <c r="E97" s="146"/>
      <c r="F97" s="146"/>
      <c r="G97" s="146"/>
      <c r="H97" s="146"/>
    </row>
    <row r="98" spans="1:8">
      <c r="A98" s="146"/>
      <c r="B98" s="146"/>
      <c r="C98" s="146"/>
      <c r="D98" s="146"/>
      <c r="E98" s="146"/>
      <c r="F98" s="146"/>
      <c r="G98" s="146"/>
      <c r="H98" s="146"/>
    </row>
    <row r="99" spans="1:8">
      <c r="A99" s="146"/>
      <c r="B99" s="146"/>
      <c r="C99" s="146"/>
      <c r="D99" s="146"/>
      <c r="E99" s="146"/>
      <c r="F99" s="146"/>
      <c r="G99" s="146"/>
      <c r="H99" s="146"/>
    </row>
    <row r="100" spans="1:8">
      <c r="A100" s="146"/>
      <c r="B100" s="146"/>
      <c r="C100" s="146"/>
      <c r="D100" s="146"/>
      <c r="E100" s="146"/>
      <c r="F100" s="146"/>
      <c r="G100" s="146"/>
      <c r="H100" s="146"/>
    </row>
    <row r="101" spans="1:8">
      <c r="A101" s="146"/>
      <c r="B101" s="146"/>
      <c r="C101" s="146"/>
      <c r="D101" s="146"/>
      <c r="E101" s="146"/>
      <c r="F101" s="146"/>
      <c r="G101" s="146"/>
      <c r="H101" s="146"/>
    </row>
    <row r="102" spans="1:8">
      <c r="A102" s="146"/>
      <c r="B102" s="146"/>
      <c r="C102" s="146"/>
      <c r="D102" s="146"/>
      <c r="E102" s="146"/>
      <c r="F102" s="146"/>
      <c r="G102" s="146"/>
      <c r="H102" s="146"/>
    </row>
    <row r="103" spans="1:8">
      <c r="A103" s="146"/>
      <c r="B103" s="146"/>
      <c r="C103" s="146"/>
      <c r="D103" s="146"/>
      <c r="E103" s="146"/>
      <c r="F103" s="146"/>
      <c r="G103" s="146"/>
      <c r="H103" s="146"/>
    </row>
    <row r="104" spans="1:8">
      <c r="A104" s="146"/>
      <c r="B104" s="146"/>
      <c r="C104" s="146"/>
      <c r="D104" s="146"/>
      <c r="E104" s="146"/>
      <c r="F104" s="146"/>
      <c r="G104" s="146"/>
      <c r="H104" s="146"/>
    </row>
    <row r="105" spans="1:8">
      <c r="A105" s="146"/>
      <c r="B105" s="146"/>
      <c r="C105" s="146"/>
      <c r="D105" s="146"/>
      <c r="E105" s="146"/>
      <c r="F105" s="146"/>
      <c r="G105" s="146"/>
      <c r="H105" s="146"/>
    </row>
    <row r="106" spans="1:8">
      <c r="A106" s="146"/>
      <c r="B106" s="146"/>
      <c r="C106" s="146"/>
      <c r="D106" s="146"/>
      <c r="E106" s="146"/>
      <c r="F106" s="146"/>
      <c r="G106" s="146"/>
      <c r="H106" s="146"/>
    </row>
    <row r="107" spans="1:8">
      <c r="A107" s="146"/>
      <c r="B107" s="146"/>
      <c r="C107" s="146"/>
      <c r="D107" s="146"/>
      <c r="E107" s="146"/>
      <c r="F107" s="146"/>
      <c r="G107" s="146"/>
      <c r="H107" s="146"/>
    </row>
    <row r="108" spans="1:8">
      <c r="A108" s="146"/>
      <c r="B108" s="146"/>
      <c r="C108" s="146"/>
      <c r="D108" s="146"/>
      <c r="E108" s="146"/>
      <c r="F108" s="146"/>
      <c r="G108" s="146"/>
      <c r="H108" s="146"/>
    </row>
    <row r="109" spans="1:8">
      <c r="A109" s="146"/>
      <c r="B109" s="146"/>
      <c r="C109" s="146"/>
      <c r="D109" s="146"/>
      <c r="E109" s="146"/>
      <c r="F109" s="146"/>
      <c r="G109" s="146"/>
      <c r="H109" s="146"/>
    </row>
    <row r="110" spans="1:8">
      <c r="A110" s="146"/>
      <c r="B110" s="146"/>
      <c r="C110" s="146"/>
      <c r="D110" s="146"/>
      <c r="E110" s="146"/>
      <c r="F110" s="146"/>
      <c r="G110" s="146"/>
      <c r="H110" s="146"/>
    </row>
    <row r="111" spans="1:8">
      <c r="A111" s="146"/>
      <c r="B111" s="146"/>
      <c r="C111" s="146"/>
      <c r="D111" s="146"/>
      <c r="E111" s="146"/>
      <c r="F111" s="146"/>
      <c r="G111" s="146"/>
      <c r="H111" s="146"/>
    </row>
    <row r="112" spans="1:8">
      <c r="A112" s="146"/>
      <c r="B112" s="146"/>
      <c r="C112" s="146"/>
      <c r="D112" s="146"/>
      <c r="E112" s="146"/>
      <c r="F112" s="146"/>
      <c r="G112" s="146"/>
      <c r="H112" s="146"/>
    </row>
    <row r="113" spans="1:8">
      <c r="A113" s="146"/>
      <c r="B113" s="146"/>
      <c r="C113" s="146"/>
      <c r="D113" s="146"/>
      <c r="E113" s="146"/>
      <c r="F113" s="146"/>
      <c r="G113" s="146"/>
      <c r="H113" s="146"/>
    </row>
    <row r="114" spans="1:8">
      <c r="A114" s="146"/>
      <c r="B114" s="146"/>
      <c r="C114" s="146"/>
      <c r="D114" s="146"/>
      <c r="E114" s="146"/>
      <c r="F114" s="146"/>
      <c r="G114" s="146"/>
      <c r="H114" s="146"/>
    </row>
    <row r="115" spans="1:8">
      <c r="A115" s="146"/>
      <c r="B115" s="146"/>
      <c r="C115" s="146"/>
      <c r="D115" s="146"/>
      <c r="E115" s="146"/>
      <c r="F115" s="146"/>
      <c r="G115" s="146"/>
      <c r="H115" s="146"/>
    </row>
    <row r="116" spans="1:8">
      <c r="A116" s="146"/>
      <c r="B116" s="146"/>
      <c r="C116" s="146"/>
      <c r="D116" s="146"/>
      <c r="E116" s="146"/>
      <c r="F116" s="146"/>
      <c r="G116" s="146"/>
      <c r="H116" s="146"/>
    </row>
    <row r="117" spans="1:8">
      <c r="A117" s="146"/>
      <c r="B117" s="146"/>
      <c r="C117" s="146"/>
      <c r="D117" s="146"/>
      <c r="E117" s="146"/>
      <c r="F117" s="146"/>
      <c r="G117" s="146"/>
      <c r="H117" s="146"/>
    </row>
    <row r="118" spans="1:8">
      <c r="A118" s="146"/>
      <c r="B118" s="146"/>
      <c r="C118" s="146"/>
      <c r="D118" s="146"/>
      <c r="E118" s="146"/>
      <c r="F118" s="146"/>
      <c r="G118" s="146"/>
      <c r="H118" s="146"/>
    </row>
    <row r="119" spans="1:8">
      <c r="A119" s="146"/>
      <c r="B119" s="146"/>
      <c r="C119" s="146"/>
      <c r="D119" s="146"/>
      <c r="E119" s="146"/>
      <c r="F119" s="146"/>
      <c r="G119" s="146"/>
      <c r="H119" s="146"/>
    </row>
    <row r="120" spans="1:8">
      <c r="A120" s="146"/>
      <c r="B120" s="146"/>
      <c r="C120" s="146"/>
      <c r="D120" s="146"/>
      <c r="E120" s="146"/>
      <c r="F120" s="146"/>
      <c r="G120" s="146"/>
      <c r="H120" s="146"/>
    </row>
    <row r="121" spans="1:8">
      <c r="A121" s="146"/>
      <c r="B121" s="146"/>
      <c r="C121" s="146"/>
      <c r="D121" s="146"/>
      <c r="E121" s="146"/>
      <c r="F121" s="146"/>
      <c r="G121" s="146"/>
      <c r="H121" s="146"/>
    </row>
    <row r="122" spans="1:8">
      <c r="A122" s="146"/>
      <c r="B122" s="146"/>
      <c r="C122" s="146"/>
      <c r="D122" s="146"/>
      <c r="E122" s="146"/>
      <c r="F122" s="146"/>
      <c r="G122" s="146"/>
      <c r="H122" s="146"/>
    </row>
    <row r="123" spans="1:8">
      <c r="A123" s="146"/>
      <c r="B123" s="146"/>
      <c r="C123" s="146"/>
      <c r="D123" s="146"/>
      <c r="E123" s="146"/>
      <c r="F123" s="146"/>
      <c r="G123" s="146"/>
      <c r="H123" s="146"/>
    </row>
    <row r="124" spans="1:8">
      <c r="A124" s="146"/>
      <c r="B124" s="146"/>
      <c r="C124" s="146"/>
      <c r="D124" s="146"/>
      <c r="E124" s="146"/>
      <c r="F124" s="146"/>
      <c r="G124" s="146"/>
      <c r="H124" s="146"/>
    </row>
    <row r="125" spans="1:8">
      <c r="A125" s="146"/>
      <c r="B125" s="146"/>
      <c r="C125" s="146"/>
      <c r="D125" s="146"/>
      <c r="E125" s="146"/>
      <c r="F125" s="146"/>
      <c r="G125" s="146"/>
      <c r="H125" s="146"/>
    </row>
    <row r="126" spans="1:8">
      <c r="A126" s="146"/>
      <c r="B126" s="146"/>
      <c r="C126" s="146"/>
      <c r="D126" s="146"/>
      <c r="E126" s="146"/>
      <c r="F126" s="146"/>
      <c r="G126" s="146"/>
      <c r="H126" s="146"/>
    </row>
    <row r="127" spans="1:8">
      <c r="A127" s="146"/>
      <c r="B127" s="146"/>
      <c r="C127" s="146"/>
      <c r="D127" s="146"/>
      <c r="E127" s="146"/>
      <c r="F127" s="146"/>
      <c r="G127" s="146"/>
      <c r="H127" s="146"/>
    </row>
    <row r="128" spans="1:8">
      <c r="A128" s="146"/>
      <c r="B128" s="146"/>
      <c r="C128" s="146"/>
      <c r="D128" s="146"/>
      <c r="E128" s="146"/>
      <c r="F128" s="146"/>
      <c r="G128" s="146"/>
      <c r="H128" s="146"/>
    </row>
    <row r="129" spans="1:8">
      <c r="A129" s="146"/>
      <c r="B129" s="146"/>
      <c r="C129" s="146"/>
      <c r="D129" s="146"/>
      <c r="E129" s="146"/>
      <c r="F129" s="146"/>
      <c r="G129" s="146"/>
      <c r="H129" s="146"/>
    </row>
    <row r="130" spans="1:8">
      <c r="A130" s="146"/>
      <c r="B130" s="146"/>
      <c r="C130" s="146"/>
      <c r="D130" s="146"/>
      <c r="E130" s="146"/>
      <c r="F130" s="146"/>
      <c r="G130" s="146"/>
      <c r="H130" s="146"/>
    </row>
    <row r="131" spans="1:8">
      <c r="A131" s="146"/>
      <c r="B131" s="146"/>
      <c r="C131" s="146"/>
      <c r="D131" s="146"/>
      <c r="E131" s="146"/>
      <c r="F131" s="146"/>
      <c r="G131" s="146"/>
      <c r="H131" s="146"/>
    </row>
    <row r="132" spans="1:8">
      <c r="A132" s="146"/>
      <c r="B132" s="146"/>
      <c r="C132" s="146"/>
      <c r="D132" s="146"/>
      <c r="E132" s="146"/>
      <c r="F132" s="146"/>
      <c r="G132" s="146"/>
      <c r="H132" s="146"/>
    </row>
    <row r="133" spans="1:8">
      <c r="A133" s="146"/>
      <c r="B133" s="146"/>
      <c r="C133" s="146"/>
      <c r="D133" s="146"/>
      <c r="E133" s="146"/>
      <c r="F133" s="146"/>
      <c r="G133" s="146"/>
      <c r="H133" s="146"/>
    </row>
    <row r="134" spans="1:8">
      <c r="A134" s="146"/>
      <c r="B134" s="146"/>
      <c r="C134" s="146"/>
      <c r="D134" s="146"/>
      <c r="E134" s="146"/>
      <c r="F134" s="146"/>
      <c r="G134" s="146"/>
      <c r="H134" s="146"/>
    </row>
    <row r="135" spans="1:8">
      <c r="A135" s="146"/>
      <c r="B135" s="146"/>
      <c r="C135" s="146"/>
      <c r="D135" s="146"/>
      <c r="E135" s="146"/>
      <c r="F135" s="146"/>
      <c r="G135" s="146"/>
      <c r="H135" s="146"/>
    </row>
    <row r="136" spans="1:8">
      <c r="A136" s="146"/>
      <c r="B136" s="146"/>
      <c r="C136" s="146"/>
      <c r="D136" s="146"/>
      <c r="E136" s="146"/>
      <c r="F136" s="146"/>
      <c r="G136" s="146"/>
      <c r="H136" s="146"/>
    </row>
    <row r="137" spans="1:8">
      <c r="A137" s="146"/>
      <c r="B137" s="146"/>
      <c r="C137" s="146"/>
      <c r="D137" s="146"/>
      <c r="E137" s="146"/>
      <c r="F137" s="146"/>
      <c r="G137" s="146"/>
      <c r="H137" s="146"/>
    </row>
    <row r="138" spans="1:8">
      <c r="A138" s="146"/>
      <c r="B138" s="146"/>
      <c r="C138" s="146"/>
      <c r="D138" s="146"/>
      <c r="E138" s="146"/>
      <c r="F138" s="146"/>
      <c r="G138" s="146"/>
      <c r="H138" s="146"/>
    </row>
    <row r="139" spans="1:8">
      <c r="A139" s="146"/>
      <c r="B139" s="146"/>
      <c r="C139" s="146"/>
      <c r="D139" s="146"/>
      <c r="E139" s="146"/>
      <c r="F139" s="146"/>
      <c r="G139" s="146"/>
      <c r="H139" s="146"/>
    </row>
    <row r="140" spans="1:8">
      <c r="A140" s="146"/>
      <c r="B140" s="146"/>
      <c r="C140" s="146"/>
      <c r="D140" s="146"/>
      <c r="E140" s="146"/>
      <c r="F140" s="146"/>
      <c r="G140" s="146"/>
      <c r="H140" s="146"/>
    </row>
    <row r="141" spans="1:8">
      <c r="A141" s="146"/>
      <c r="B141" s="146"/>
      <c r="C141" s="146"/>
      <c r="D141" s="146"/>
      <c r="E141" s="146"/>
      <c r="F141" s="146"/>
      <c r="G141" s="146"/>
      <c r="H141" s="146"/>
    </row>
    <row r="142" spans="1:8">
      <c r="A142" s="146"/>
      <c r="B142" s="146"/>
      <c r="C142" s="146"/>
      <c r="D142" s="146"/>
      <c r="E142" s="146"/>
      <c r="F142" s="146"/>
      <c r="G142" s="146"/>
      <c r="H142" s="146"/>
    </row>
    <row r="143" spans="1:8">
      <c r="A143" s="146"/>
      <c r="B143" s="146"/>
      <c r="C143" s="146"/>
      <c r="D143" s="146"/>
      <c r="E143" s="146"/>
      <c r="F143" s="146"/>
      <c r="G143" s="146"/>
      <c r="H143" s="146"/>
    </row>
    <row r="144" spans="1:8">
      <c r="A144" s="146"/>
      <c r="B144" s="146"/>
      <c r="C144" s="146"/>
      <c r="D144" s="146"/>
      <c r="E144" s="146"/>
      <c r="F144" s="146"/>
      <c r="G144" s="146"/>
      <c r="H144" s="146"/>
    </row>
    <row r="145" spans="1:8">
      <c r="A145" s="146"/>
      <c r="B145" s="146"/>
      <c r="C145" s="146"/>
      <c r="D145" s="146"/>
      <c r="E145" s="146"/>
      <c r="F145" s="146"/>
      <c r="G145" s="146"/>
      <c r="H145" s="146"/>
    </row>
    <row r="146" spans="1:8">
      <c r="A146" s="146"/>
      <c r="B146" s="146"/>
      <c r="C146" s="146"/>
      <c r="D146" s="146"/>
      <c r="E146" s="146"/>
      <c r="F146" s="146"/>
      <c r="G146" s="146"/>
      <c r="H146" s="146"/>
    </row>
    <row r="147" spans="1:8">
      <c r="A147" s="146"/>
      <c r="B147" s="146"/>
      <c r="C147" s="146"/>
      <c r="D147" s="146"/>
      <c r="E147" s="146"/>
      <c r="F147" s="146"/>
      <c r="G147" s="146"/>
      <c r="H147" s="146"/>
    </row>
    <row r="148" spans="1:8">
      <c r="A148" s="146"/>
      <c r="B148" s="146"/>
      <c r="C148" s="146"/>
      <c r="D148" s="146"/>
      <c r="E148" s="146"/>
      <c r="F148" s="146"/>
      <c r="G148" s="146"/>
      <c r="H148" s="146"/>
    </row>
    <row r="149" spans="1:8">
      <c r="A149" s="146"/>
      <c r="B149" s="146"/>
      <c r="C149" s="146"/>
      <c r="D149" s="146"/>
      <c r="E149" s="146"/>
      <c r="F149" s="146"/>
      <c r="G149" s="146"/>
      <c r="H149" s="146"/>
    </row>
    <row r="150" spans="1:8">
      <c r="A150" s="146"/>
      <c r="B150" s="146"/>
      <c r="C150" s="146"/>
      <c r="D150" s="146"/>
      <c r="E150" s="146"/>
      <c r="F150" s="146"/>
      <c r="G150" s="146"/>
      <c r="H150" s="146"/>
    </row>
    <row r="151" spans="1:8">
      <c r="A151" s="146"/>
      <c r="B151" s="146"/>
      <c r="C151" s="146"/>
      <c r="D151" s="146"/>
      <c r="E151" s="146"/>
      <c r="F151" s="146"/>
      <c r="G151" s="146"/>
      <c r="H151" s="146"/>
    </row>
    <row r="152" spans="1:8">
      <c r="A152" s="146"/>
      <c r="B152" s="146"/>
      <c r="C152" s="146"/>
      <c r="D152" s="146"/>
      <c r="E152" s="146"/>
      <c r="F152" s="146"/>
      <c r="G152" s="146"/>
      <c r="H152" s="146"/>
    </row>
    <row r="153" spans="1:8">
      <c r="A153" s="146"/>
      <c r="B153" s="146"/>
      <c r="C153" s="146"/>
      <c r="D153" s="146"/>
      <c r="E153" s="146"/>
      <c r="F153" s="146"/>
      <c r="G153" s="146"/>
      <c r="H153" s="146"/>
    </row>
    <row r="154" spans="1:8">
      <c r="A154" s="146"/>
      <c r="B154" s="146"/>
      <c r="C154" s="146"/>
      <c r="D154" s="146"/>
      <c r="E154" s="146"/>
      <c r="F154" s="146"/>
      <c r="G154" s="146"/>
      <c r="H154" s="146"/>
    </row>
    <row r="155" spans="1:8">
      <c r="A155" s="146"/>
      <c r="B155" s="146"/>
      <c r="C155" s="146"/>
      <c r="D155" s="146"/>
      <c r="E155" s="146"/>
      <c r="F155" s="146"/>
      <c r="G155" s="146"/>
      <c r="H155" s="146"/>
    </row>
    <row r="156" spans="1:8">
      <c r="A156" s="146"/>
      <c r="B156" s="146"/>
      <c r="C156" s="146"/>
      <c r="D156" s="146"/>
      <c r="E156" s="146"/>
      <c r="F156" s="146"/>
      <c r="G156" s="146"/>
      <c r="H156" s="146"/>
    </row>
    <row r="157" spans="1:8">
      <c r="A157" s="146"/>
      <c r="B157" s="146"/>
      <c r="C157" s="146"/>
      <c r="D157" s="146"/>
      <c r="E157" s="146"/>
      <c r="F157" s="146"/>
      <c r="G157" s="146"/>
      <c r="H157" s="146"/>
    </row>
    <row r="158" spans="1:8">
      <c r="A158" s="146"/>
      <c r="B158" s="146"/>
      <c r="C158" s="146"/>
      <c r="D158" s="146"/>
      <c r="E158" s="146"/>
      <c r="F158" s="146"/>
      <c r="G158" s="146"/>
      <c r="H158" s="146"/>
    </row>
    <row r="159" spans="1:8">
      <c r="A159" s="146"/>
      <c r="B159" s="146"/>
      <c r="C159" s="146"/>
      <c r="D159" s="146"/>
      <c r="E159" s="146"/>
      <c r="F159" s="146"/>
      <c r="G159" s="146"/>
      <c r="H159" s="146"/>
    </row>
    <row r="160" spans="1:8">
      <c r="A160" s="146"/>
      <c r="B160" s="146"/>
      <c r="C160" s="146"/>
      <c r="D160" s="146"/>
      <c r="E160" s="146"/>
      <c r="F160" s="146"/>
      <c r="G160" s="146"/>
      <c r="H160" s="146"/>
    </row>
    <row r="161" spans="1:8">
      <c r="A161" s="146"/>
      <c r="B161" s="146"/>
      <c r="C161" s="146"/>
      <c r="D161" s="146"/>
      <c r="E161" s="146"/>
      <c r="F161" s="146"/>
      <c r="G161" s="146"/>
      <c r="H161" s="146"/>
    </row>
    <row r="162" spans="1:8">
      <c r="A162" s="146"/>
      <c r="B162" s="146"/>
      <c r="C162" s="146"/>
      <c r="D162" s="146"/>
      <c r="E162" s="146"/>
      <c r="F162" s="146"/>
      <c r="G162" s="146"/>
      <c r="H162" s="146"/>
    </row>
    <row r="163" spans="1:8">
      <c r="A163" s="146"/>
      <c r="B163" s="146"/>
      <c r="C163" s="146"/>
      <c r="D163" s="146"/>
      <c r="E163" s="146"/>
      <c r="F163" s="146"/>
      <c r="G163" s="146"/>
      <c r="H163" s="146"/>
    </row>
    <row r="164" spans="1:8">
      <c r="A164" s="146"/>
      <c r="B164" s="146"/>
      <c r="C164" s="146"/>
      <c r="D164" s="146"/>
      <c r="E164" s="146"/>
      <c r="F164" s="146"/>
      <c r="G164" s="146"/>
      <c r="H164" s="146"/>
    </row>
    <row r="165" spans="1:8">
      <c r="A165" s="146"/>
      <c r="B165" s="146"/>
      <c r="C165" s="146"/>
      <c r="D165" s="146"/>
      <c r="E165" s="146"/>
      <c r="F165" s="146"/>
      <c r="G165" s="146"/>
      <c r="H165" s="146"/>
    </row>
    <row r="166" spans="1:8">
      <c r="A166" s="146"/>
      <c r="B166" s="146"/>
      <c r="C166" s="146"/>
      <c r="D166" s="146"/>
      <c r="E166" s="146"/>
      <c r="F166" s="146"/>
      <c r="G166" s="146"/>
      <c r="H166" s="146"/>
    </row>
    <row r="167" spans="1:8">
      <c r="A167" s="146"/>
      <c r="B167" s="146"/>
      <c r="C167" s="146"/>
      <c r="D167" s="146"/>
      <c r="E167" s="146"/>
      <c r="F167" s="146"/>
      <c r="G167" s="146"/>
      <c r="H167" s="146"/>
    </row>
    <row r="168" spans="1:8">
      <c r="A168" s="146"/>
      <c r="B168" s="146"/>
      <c r="C168" s="146"/>
      <c r="D168" s="146"/>
      <c r="E168" s="146"/>
      <c r="F168" s="146"/>
      <c r="G168" s="146"/>
      <c r="H168" s="146"/>
    </row>
    <row r="169" spans="1:8">
      <c r="A169" s="146"/>
      <c r="B169" s="146"/>
      <c r="C169" s="146"/>
      <c r="D169" s="146"/>
      <c r="E169" s="146"/>
      <c r="F169" s="146"/>
      <c r="G169" s="146"/>
      <c r="H169" s="146"/>
    </row>
    <row r="170" spans="1:8">
      <c r="A170" s="146"/>
      <c r="B170" s="146"/>
      <c r="C170" s="146"/>
      <c r="D170" s="146"/>
      <c r="E170" s="146"/>
      <c r="F170" s="146"/>
      <c r="G170" s="146"/>
      <c r="H170" s="146"/>
    </row>
    <row r="171" spans="1:8">
      <c r="A171" s="146"/>
      <c r="B171" s="146"/>
      <c r="C171" s="146"/>
      <c r="D171" s="146"/>
      <c r="E171" s="146"/>
      <c r="F171" s="146"/>
      <c r="G171" s="146"/>
      <c r="H171" s="146"/>
    </row>
    <row r="172" spans="1:8">
      <c r="A172" s="146"/>
      <c r="B172" s="146"/>
      <c r="C172" s="146"/>
      <c r="D172" s="146"/>
      <c r="E172" s="146"/>
      <c r="F172" s="146"/>
      <c r="G172" s="146"/>
      <c r="H172" s="146"/>
    </row>
    <row r="173" spans="1:8">
      <c r="A173" s="146"/>
      <c r="B173" s="146"/>
      <c r="C173" s="146"/>
      <c r="D173" s="146"/>
      <c r="E173" s="146"/>
      <c r="F173" s="146"/>
      <c r="G173" s="146"/>
      <c r="H173" s="146"/>
    </row>
    <row r="174" spans="1:8">
      <c r="A174" s="146"/>
      <c r="B174" s="146"/>
      <c r="C174" s="146"/>
      <c r="D174" s="146"/>
      <c r="E174" s="146"/>
      <c r="F174" s="146"/>
      <c r="G174" s="146"/>
      <c r="H174" s="146"/>
    </row>
    <row r="175" spans="1:8">
      <c r="A175" s="146"/>
      <c r="B175" s="146"/>
      <c r="C175" s="146"/>
      <c r="D175" s="146"/>
      <c r="E175" s="146"/>
      <c r="F175" s="146"/>
      <c r="G175" s="146"/>
      <c r="H175" s="146"/>
    </row>
    <row r="176" spans="1:8">
      <c r="A176" s="146"/>
      <c r="B176" s="146"/>
      <c r="C176" s="146"/>
      <c r="D176" s="146"/>
      <c r="E176" s="146"/>
      <c r="F176" s="146"/>
      <c r="G176" s="146"/>
      <c r="H176" s="146"/>
    </row>
    <row r="177" spans="1:8">
      <c r="A177" s="146"/>
      <c r="B177" s="146"/>
      <c r="C177" s="146"/>
      <c r="D177" s="146"/>
      <c r="E177" s="146"/>
      <c r="F177" s="146"/>
      <c r="G177" s="146"/>
      <c r="H177" s="146"/>
    </row>
    <row r="178" spans="1:8">
      <c r="A178" s="146"/>
      <c r="B178" s="146"/>
      <c r="C178" s="146"/>
      <c r="D178" s="146"/>
      <c r="E178" s="146"/>
      <c r="F178" s="146"/>
      <c r="G178" s="146"/>
      <c r="H178" s="146"/>
    </row>
    <row r="179" spans="1:8">
      <c r="A179" s="146"/>
      <c r="B179" s="146"/>
      <c r="C179" s="146"/>
      <c r="D179" s="146"/>
      <c r="E179" s="146"/>
      <c r="F179" s="146"/>
      <c r="G179" s="146"/>
      <c r="H179" s="146"/>
    </row>
    <row r="180" spans="1:8">
      <c r="A180" s="146"/>
      <c r="B180" s="146"/>
      <c r="C180" s="146"/>
      <c r="D180" s="146"/>
      <c r="E180" s="146"/>
      <c r="F180" s="146"/>
      <c r="G180" s="146"/>
      <c r="H180" s="146"/>
    </row>
    <row r="181" spans="1:8">
      <c r="A181" s="146"/>
      <c r="B181" s="146"/>
      <c r="C181" s="146"/>
      <c r="D181" s="146"/>
      <c r="E181" s="146"/>
      <c r="F181" s="146"/>
      <c r="G181" s="146"/>
      <c r="H181" s="146"/>
    </row>
    <row r="182" spans="1:8">
      <c r="A182" s="146"/>
      <c r="B182" s="146"/>
      <c r="C182" s="146"/>
      <c r="D182" s="146"/>
      <c r="E182" s="146"/>
      <c r="F182" s="146"/>
      <c r="G182" s="146"/>
      <c r="H182" s="146"/>
    </row>
    <row r="183" spans="1:8">
      <c r="A183" s="146"/>
      <c r="B183" s="146"/>
      <c r="C183" s="146"/>
      <c r="D183" s="146"/>
      <c r="E183" s="146"/>
      <c r="F183" s="146"/>
      <c r="G183" s="146"/>
      <c r="H183" s="146"/>
    </row>
    <row r="184" spans="1:8">
      <c r="A184" s="146"/>
      <c r="B184" s="146"/>
      <c r="C184" s="146"/>
      <c r="D184" s="146"/>
      <c r="E184" s="146"/>
      <c r="F184" s="146"/>
      <c r="G184" s="146"/>
      <c r="H184" s="146"/>
    </row>
    <row r="185" spans="1:8">
      <c r="A185" s="146"/>
      <c r="B185" s="146"/>
      <c r="C185" s="146"/>
      <c r="D185" s="146"/>
      <c r="E185" s="146"/>
      <c r="F185" s="146"/>
      <c r="G185" s="146"/>
      <c r="H185" s="146"/>
    </row>
    <row r="186" spans="1:8">
      <c r="A186" s="146"/>
      <c r="B186" s="146"/>
      <c r="C186" s="146"/>
      <c r="D186" s="146"/>
      <c r="E186" s="146"/>
      <c r="F186" s="146"/>
      <c r="G186" s="146"/>
      <c r="H186" s="146"/>
    </row>
  </sheetData>
  <pageMargins left="0.7" right="0.7" top="0.75" bottom="0.75" header="0.3" footer="0.3"/>
  <pageSetup paperSize="9"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dimension ref="A1:C26"/>
  <sheetViews>
    <sheetView workbookViewId="0">
      <selection activeCell="A3" sqref="A3:A8"/>
    </sheetView>
  </sheetViews>
  <sheetFormatPr defaultRowHeight="13.2"/>
  <cols>
    <col min="1" max="1" width="26.33203125" customWidth="1"/>
    <col min="2" max="2" width="15.5546875" customWidth="1"/>
    <col min="3" max="3" width="16.33203125" customWidth="1"/>
  </cols>
  <sheetData>
    <row r="1" spans="1:3" ht="27.75" customHeight="1">
      <c r="A1" s="410" t="s">
        <v>301</v>
      </c>
      <c r="B1" s="410"/>
      <c r="C1" s="410"/>
    </row>
    <row r="2" spans="1:3">
      <c r="A2" s="2"/>
    </row>
    <row r="3" spans="1:3">
      <c r="A3" s="1" t="s">
        <v>302</v>
      </c>
      <c r="B3" s="3" t="s">
        <v>123</v>
      </c>
      <c r="C3" s="1" t="s">
        <v>22</v>
      </c>
    </row>
    <row r="5" spans="1:3">
      <c r="A5" t="s">
        <v>61</v>
      </c>
      <c r="B5" s="125" t="s">
        <v>124</v>
      </c>
      <c r="C5" s="129">
        <v>6365000</v>
      </c>
    </row>
    <row r="6" spans="1:3">
      <c r="A6" s="125" t="s">
        <v>122</v>
      </c>
      <c r="B6" s="125" t="s">
        <v>124</v>
      </c>
      <c r="C6" s="129">
        <v>400000</v>
      </c>
    </row>
    <row r="7" spans="1:3">
      <c r="A7" s="146" t="s">
        <v>303</v>
      </c>
      <c r="B7" s="146" t="s">
        <v>304</v>
      </c>
      <c r="C7" s="375" t="s">
        <v>304</v>
      </c>
    </row>
    <row r="8" spans="1:3">
      <c r="A8" s="125" t="s">
        <v>125</v>
      </c>
      <c r="C8" s="129"/>
    </row>
    <row r="9" spans="1:3">
      <c r="C9" s="129"/>
    </row>
    <row r="10" spans="1:3">
      <c r="C10" s="129"/>
    </row>
    <row r="11" spans="1:3">
      <c r="C11" s="129"/>
    </row>
    <row r="12" spans="1:3">
      <c r="C12" s="129"/>
    </row>
    <row r="13" spans="1:3">
      <c r="C13" s="129"/>
    </row>
    <row r="14" spans="1:3">
      <c r="C14" s="129"/>
    </row>
    <row r="15" spans="1:3">
      <c r="C15" s="129"/>
    </row>
    <row r="16" spans="1:3">
      <c r="C16" s="129"/>
    </row>
    <row r="17" spans="1:3">
      <c r="C17" s="129"/>
    </row>
    <row r="18" spans="1:3">
      <c r="C18" s="129"/>
    </row>
    <row r="19" spans="1:3">
      <c r="C19" s="129"/>
    </row>
    <row r="20" spans="1:3">
      <c r="C20" s="129"/>
    </row>
    <row r="21" spans="1:3">
      <c r="C21" s="129"/>
    </row>
    <row r="22" spans="1:3">
      <c r="C22" s="129"/>
    </row>
    <row r="23" spans="1:3">
      <c r="C23" s="129"/>
    </row>
    <row r="24" spans="1:3">
      <c r="C24" s="129"/>
    </row>
    <row r="25" spans="1:3">
      <c r="C25" s="129"/>
    </row>
    <row r="26" spans="1:3">
      <c r="A26" s="3"/>
      <c r="C26" s="130"/>
    </row>
  </sheetData>
  <mergeCells count="1">
    <mergeCell ref="A1:C1"/>
  </mergeCells>
  <phoneticPr fontId="2" type="noConversion"/>
  <pageMargins left="0.75" right="0.75" top="1" bottom="1" header="0" footer="0"/>
  <pageSetup paperSize="9" orientation="portrait" horizontalDpi="300" verticalDpi="300" r:id="rId1"/>
  <headerFooter alignWithMargins="0"/>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dimension ref="A1:C26"/>
  <sheetViews>
    <sheetView workbookViewId="0">
      <selection activeCell="F16" sqref="F16"/>
    </sheetView>
  </sheetViews>
  <sheetFormatPr defaultRowHeight="13.2"/>
  <cols>
    <col min="1" max="1" width="26.33203125" customWidth="1"/>
    <col min="2" max="2" width="15.5546875" customWidth="1"/>
    <col min="3" max="3" width="16.33203125" customWidth="1"/>
    <col min="4" max="4" width="17.88671875" customWidth="1"/>
    <col min="5" max="5" width="15.6640625" customWidth="1"/>
  </cols>
  <sheetData>
    <row r="1" spans="1:3" ht="24.75" customHeight="1">
      <c r="A1" s="410" t="s">
        <v>278</v>
      </c>
      <c r="B1" s="410"/>
      <c r="C1" s="410"/>
    </row>
    <row r="3" spans="1:3">
      <c r="A3" s="1" t="s">
        <v>302</v>
      </c>
      <c r="B3" s="3" t="s">
        <v>123</v>
      </c>
      <c r="C3" s="1" t="s">
        <v>62</v>
      </c>
    </row>
    <row r="5" spans="1:3">
      <c r="A5" t="s">
        <v>61</v>
      </c>
      <c r="B5" s="125" t="s">
        <v>124</v>
      </c>
      <c r="C5" s="129">
        <v>5985222</v>
      </c>
    </row>
    <row r="6" spans="1:3">
      <c r="A6" s="125" t="s">
        <v>122</v>
      </c>
      <c r="B6" s="125" t="s">
        <v>124</v>
      </c>
      <c r="C6" s="129">
        <v>421355</v>
      </c>
    </row>
    <row r="7" spans="1:3">
      <c r="A7" s="146" t="s">
        <v>303</v>
      </c>
      <c r="C7" s="129"/>
    </row>
    <row r="8" spans="1:3">
      <c r="A8" s="125" t="s">
        <v>125</v>
      </c>
      <c r="C8" s="129"/>
    </row>
    <row r="9" spans="1:3">
      <c r="C9" s="129"/>
    </row>
    <row r="10" spans="1:3">
      <c r="C10" s="129"/>
    </row>
    <row r="11" spans="1:3">
      <c r="C11" s="129"/>
    </row>
    <row r="12" spans="1:3">
      <c r="C12" s="129"/>
    </row>
    <row r="13" spans="1:3">
      <c r="C13" s="129"/>
    </row>
    <row r="14" spans="1:3">
      <c r="C14" s="129"/>
    </row>
    <row r="15" spans="1:3">
      <c r="C15" s="129"/>
    </row>
    <row r="16" spans="1:3">
      <c r="C16" s="129"/>
    </row>
    <row r="17" spans="1:3">
      <c r="C17" s="129"/>
    </row>
    <row r="18" spans="1:3">
      <c r="C18" s="129"/>
    </row>
    <row r="19" spans="1:3">
      <c r="C19" s="129"/>
    </row>
    <row r="20" spans="1:3">
      <c r="C20" s="129"/>
    </row>
    <row r="21" spans="1:3">
      <c r="C21" s="129"/>
    </row>
    <row r="22" spans="1:3">
      <c r="C22" s="129"/>
    </row>
    <row r="23" spans="1:3">
      <c r="C23" s="129"/>
    </row>
    <row r="24" spans="1:3">
      <c r="C24" s="129"/>
    </row>
    <row r="25" spans="1:3">
      <c r="A25" s="3"/>
      <c r="C25" s="130"/>
    </row>
    <row r="26" spans="1:3">
      <c r="A26" s="3"/>
      <c r="C26" s="130"/>
    </row>
  </sheetData>
  <mergeCells count="1">
    <mergeCell ref="A1:C1"/>
  </mergeCells>
  <phoneticPr fontId="2" type="noConversion"/>
  <pageMargins left="0.75" right="0.75" top="1" bottom="1" header="0" footer="0"/>
  <pageSetup paperSize="9" orientation="portrait" r:id="rId1"/>
  <headerFooter alignWithMargins="0"/>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G92"/>
  <sheetViews>
    <sheetView topLeftCell="A13" workbookViewId="0">
      <selection activeCell="H20" sqref="H20"/>
    </sheetView>
  </sheetViews>
  <sheetFormatPr defaultColWidth="9.109375" defaultRowHeight="13.2"/>
  <cols>
    <col min="1" max="1" width="51.5546875" style="93" customWidth="1"/>
    <col min="2" max="2" width="11.6640625" style="58" customWidth="1"/>
    <col min="3" max="3" width="11.6640625" style="94" customWidth="1"/>
    <col min="4" max="4" width="11.6640625" style="60" customWidth="1"/>
    <col min="5" max="5" width="13.44140625" style="36" customWidth="1"/>
    <col min="6" max="15" width="11.6640625" style="36" customWidth="1"/>
    <col min="16" max="16384" width="9.109375" style="36"/>
  </cols>
  <sheetData>
    <row r="1" spans="1:5">
      <c r="A1" s="159" t="str">
        <f>+Fordelingsnøgler!A1</f>
        <v>BDO Statsautoriseret Revisionspartnerselskab 2025</v>
      </c>
      <c r="B1"/>
    </row>
    <row r="2" spans="1:5">
      <c r="A2" s="159" t="str">
        <f>+Fordelingsnøgler!A2</f>
        <v xml:space="preserve">Beregning af omkostningsbaserede takster </v>
      </c>
      <c r="B2"/>
    </row>
    <row r="3" spans="1:5">
      <c r="A3" s="159" t="str">
        <f>+Fordelingsnøgler!A3</f>
        <v>for tilbud mv. iht. Finansieringsbekg. (jf. SEL § 174 &amp; BL § 195)</v>
      </c>
      <c r="B3"/>
    </row>
    <row r="4" spans="1:5" ht="13.8">
      <c r="A4" s="133" t="s">
        <v>274</v>
      </c>
      <c r="B4"/>
    </row>
    <row r="5" spans="1:5">
      <c r="A5" s="321">
        <f>+Takstberegning!C10</f>
        <v>0</v>
      </c>
    </row>
    <row r="6" spans="1:5">
      <c r="A6" s="321">
        <f>+Takstberegning!C11</f>
        <v>0</v>
      </c>
    </row>
    <row r="7" spans="1:5">
      <c r="A7" s="160">
        <f>+Takstberegning!C13</f>
        <v>0</v>
      </c>
    </row>
    <row r="8" spans="1:5">
      <c r="A8" s="160">
        <f>+Takstberegning!C14</f>
        <v>0</v>
      </c>
    </row>
    <row r="10" spans="1:5" ht="17.399999999999999">
      <c r="A10" s="57" t="s">
        <v>282</v>
      </c>
      <c r="C10" s="59"/>
    </row>
    <row r="11" spans="1:5" ht="7.5" customHeight="1">
      <c r="A11" s="57"/>
      <c r="C11" s="59"/>
    </row>
    <row r="12" spans="1:5" ht="13.8">
      <c r="A12" s="33" t="s">
        <v>280</v>
      </c>
      <c r="C12" s="59"/>
    </row>
    <row r="13" spans="1:5" ht="13.8">
      <c r="A13" s="33" t="s">
        <v>281</v>
      </c>
      <c r="C13" s="59"/>
    </row>
    <row r="14" spans="1:5" ht="13.8">
      <c r="A14" s="33" t="s">
        <v>283</v>
      </c>
      <c r="C14" s="59"/>
    </row>
    <row r="15" spans="1:5">
      <c r="A15" s="61"/>
      <c r="C15" s="59"/>
    </row>
    <row r="16" spans="1:5" ht="17.399999999999999">
      <c r="A16" s="57" t="s">
        <v>88</v>
      </c>
      <c r="C16" s="59"/>
      <c r="E16" s="153">
        <f>+E17+E18</f>
        <v>446600</v>
      </c>
    </row>
    <row r="17" spans="1:7" ht="15.6">
      <c r="A17" s="150" t="s">
        <v>86</v>
      </c>
      <c r="B17" s="155" t="s">
        <v>84</v>
      </c>
      <c r="C17" s="62"/>
      <c r="E17" s="154">
        <f>+E23</f>
        <v>145000</v>
      </c>
    </row>
    <row r="18" spans="1:7" ht="13.8">
      <c r="A18" s="150" t="s">
        <v>279</v>
      </c>
      <c r="B18" s="155" t="s">
        <v>85</v>
      </c>
      <c r="C18" s="59"/>
      <c r="E18" s="154">
        <f>+E76</f>
        <v>301600</v>
      </c>
    </row>
    <row r="19" spans="1:7">
      <c r="A19" s="149" t="s">
        <v>261</v>
      </c>
      <c r="B19" s="36"/>
      <c r="C19" s="59"/>
      <c r="D19" s="377">
        <v>80000</v>
      </c>
    </row>
    <row r="20" spans="1:7" ht="17.399999999999999">
      <c r="A20" s="57"/>
      <c r="C20" s="59"/>
    </row>
    <row r="21" spans="1:7" ht="15.6">
      <c r="A21" s="64"/>
      <c r="B21" s="65"/>
      <c r="C21" s="66"/>
      <c r="D21" s="67"/>
      <c r="E21" s="63" t="s">
        <v>112</v>
      </c>
    </row>
    <row r="22" spans="1:7" ht="20.399999999999999">
      <c r="A22" s="68" t="s">
        <v>83</v>
      </c>
      <c r="B22" s="69" t="s">
        <v>50</v>
      </c>
      <c r="C22" s="70" t="s">
        <v>60</v>
      </c>
      <c r="D22" s="70" t="s">
        <v>51</v>
      </c>
      <c r="E22" s="70" t="s">
        <v>111</v>
      </c>
    </row>
    <row r="23" spans="1:7" ht="13.8">
      <c r="A23" s="71" t="s">
        <v>53</v>
      </c>
      <c r="B23" s="72"/>
      <c r="C23" s="73">
        <f>SUM(C24:C29)</f>
        <v>125000</v>
      </c>
      <c r="D23" s="107">
        <f>SUM(D24:D29)</f>
        <v>0.25</v>
      </c>
      <c r="E23" s="73">
        <f>SUM(E24:E29)</f>
        <v>145000</v>
      </c>
    </row>
    <row r="24" spans="1:7">
      <c r="A24" s="74"/>
      <c r="B24" s="75"/>
      <c r="C24" s="76"/>
      <c r="D24" s="108"/>
      <c r="E24" s="76">
        <f t="shared" ref="E24:E29" si="0">+C24+(D24*D$19)</f>
        <v>0</v>
      </c>
    </row>
    <row r="25" spans="1:7">
      <c r="A25" s="151" t="s">
        <v>260</v>
      </c>
      <c r="B25" s="117">
        <v>0.25</v>
      </c>
      <c r="C25" s="76">
        <f>500000*B25</f>
        <v>125000</v>
      </c>
      <c r="D25" s="108">
        <v>0.25</v>
      </c>
      <c r="E25" s="76">
        <f>+C25+(D25*D$19)</f>
        <v>145000</v>
      </c>
      <c r="G25" s="38"/>
    </row>
    <row r="26" spans="1:7">
      <c r="A26" s="79"/>
      <c r="B26" s="78"/>
      <c r="C26" s="76"/>
      <c r="D26" s="108"/>
      <c r="E26" s="76">
        <f t="shared" si="0"/>
        <v>0</v>
      </c>
    </row>
    <row r="27" spans="1:7">
      <c r="A27" s="79"/>
      <c r="B27" s="80"/>
      <c r="C27" s="76"/>
      <c r="D27" s="108"/>
      <c r="E27" s="76">
        <f t="shared" si="0"/>
        <v>0</v>
      </c>
    </row>
    <row r="28" spans="1:7">
      <c r="A28" s="79"/>
      <c r="B28" s="81"/>
      <c r="C28" s="76"/>
      <c r="D28" s="108"/>
      <c r="E28" s="76">
        <f t="shared" si="0"/>
        <v>0</v>
      </c>
    </row>
    <row r="29" spans="1:7">
      <c r="A29" s="82"/>
      <c r="B29" s="83"/>
      <c r="C29" s="84"/>
      <c r="D29" s="109"/>
      <c r="E29" s="84">
        <f t="shared" si="0"/>
        <v>0</v>
      </c>
    </row>
    <row r="30" spans="1:7" ht="17.399999999999999">
      <c r="A30" s="57"/>
      <c r="C30" s="59"/>
      <c r="D30" s="110"/>
    </row>
    <row r="31" spans="1:7" ht="15.6">
      <c r="A31" s="64"/>
      <c r="B31" s="65"/>
      <c r="C31" s="66"/>
      <c r="D31" s="111"/>
      <c r="E31" s="63" t="s">
        <v>113</v>
      </c>
    </row>
    <row r="32" spans="1:7" ht="20.399999999999999">
      <c r="A32" s="68" t="s">
        <v>82</v>
      </c>
      <c r="B32" s="69" t="s">
        <v>50</v>
      </c>
      <c r="C32" s="70" t="s">
        <v>60</v>
      </c>
      <c r="D32" s="112" t="s">
        <v>51</v>
      </c>
      <c r="E32" s="70" t="s">
        <v>111</v>
      </c>
    </row>
    <row r="33" spans="1:5" ht="13.8">
      <c r="A33" s="71" t="s">
        <v>53</v>
      </c>
      <c r="B33" s="72"/>
      <c r="C33" s="73">
        <f>SUM(C34:C39)</f>
        <v>116000</v>
      </c>
      <c r="D33" s="107">
        <f>SUM(D34:D39)</f>
        <v>0.27</v>
      </c>
      <c r="E33" s="73">
        <f>SUM(E34:E39)</f>
        <v>137600</v>
      </c>
    </row>
    <row r="34" spans="1:5">
      <c r="A34" s="77"/>
      <c r="B34" s="75"/>
      <c r="C34" s="76"/>
      <c r="D34" s="108"/>
      <c r="E34" s="76">
        <f t="shared" ref="E34:E39" si="1">+C34+(D34*D$19)</f>
        <v>0</v>
      </c>
    </row>
    <row r="35" spans="1:5">
      <c r="A35" s="77" t="s">
        <v>110</v>
      </c>
      <c r="B35" s="117">
        <v>0.02</v>
      </c>
      <c r="C35" s="76">
        <f>800000*B35</f>
        <v>16000</v>
      </c>
      <c r="D35" s="108">
        <f>+B35</f>
        <v>0.02</v>
      </c>
      <c r="E35" s="76">
        <f t="shared" si="1"/>
        <v>17600</v>
      </c>
    </row>
    <row r="36" spans="1:5">
      <c r="A36" s="151" t="s">
        <v>163</v>
      </c>
      <c r="B36" s="117">
        <v>0.25</v>
      </c>
      <c r="C36" s="76">
        <f>400000*B36</f>
        <v>100000</v>
      </c>
      <c r="D36" s="108">
        <f>+B36</f>
        <v>0.25</v>
      </c>
      <c r="E36" s="76">
        <f t="shared" si="1"/>
        <v>120000</v>
      </c>
    </row>
    <row r="37" spans="1:5">
      <c r="A37" s="77"/>
      <c r="B37" s="80"/>
      <c r="C37" s="76"/>
      <c r="D37" s="108"/>
      <c r="E37" s="76">
        <f t="shared" si="1"/>
        <v>0</v>
      </c>
    </row>
    <row r="38" spans="1:5">
      <c r="A38" s="77"/>
      <c r="B38" s="81"/>
      <c r="C38" s="76"/>
      <c r="D38" s="108"/>
      <c r="E38" s="76">
        <f t="shared" si="1"/>
        <v>0</v>
      </c>
    </row>
    <row r="39" spans="1:5">
      <c r="A39" s="77"/>
      <c r="B39" s="83"/>
      <c r="C39" s="84"/>
      <c r="D39" s="109"/>
      <c r="E39" s="84">
        <f t="shared" si="1"/>
        <v>0</v>
      </c>
    </row>
    <row r="40" spans="1:5" ht="13.8">
      <c r="A40" s="118" t="s">
        <v>54</v>
      </c>
      <c r="B40" s="72"/>
      <c r="C40" s="73">
        <f>SUM(C41:C46)</f>
        <v>80000</v>
      </c>
      <c r="D40" s="107">
        <f>SUM(D41:D46)</f>
        <v>0.2</v>
      </c>
      <c r="E40" s="85">
        <f>SUM(E41:E46)</f>
        <v>96000</v>
      </c>
    </row>
    <row r="41" spans="1:5">
      <c r="A41" s="77"/>
      <c r="B41" s="75"/>
      <c r="C41" s="76"/>
      <c r="D41" s="113"/>
      <c r="E41" s="76">
        <f t="shared" ref="E41:E46" si="2">+C41+(D41*D$19)</f>
        <v>0</v>
      </c>
    </row>
    <row r="42" spans="1:5">
      <c r="A42" s="151" t="s">
        <v>162</v>
      </c>
      <c r="B42" s="117">
        <v>0.2</v>
      </c>
      <c r="C42" s="76">
        <f>400000*B42</f>
        <v>80000</v>
      </c>
      <c r="D42" s="108">
        <f>+B42</f>
        <v>0.2</v>
      </c>
      <c r="E42" s="76">
        <f t="shared" si="2"/>
        <v>96000</v>
      </c>
    </row>
    <row r="43" spans="1:5">
      <c r="A43" s="77"/>
      <c r="B43" s="80"/>
      <c r="C43" s="76"/>
      <c r="D43" s="113"/>
      <c r="E43" s="76">
        <f t="shared" si="2"/>
        <v>0</v>
      </c>
    </row>
    <row r="44" spans="1:5">
      <c r="A44" s="77"/>
      <c r="B44" s="80"/>
      <c r="C44" s="76"/>
      <c r="D44" s="113"/>
      <c r="E44" s="76">
        <f t="shared" si="2"/>
        <v>0</v>
      </c>
    </row>
    <row r="45" spans="1:5">
      <c r="A45" s="77"/>
      <c r="B45" s="81"/>
      <c r="C45" s="76"/>
      <c r="D45" s="108"/>
      <c r="E45" s="76">
        <f t="shared" si="2"/>
        <v>0</v>
      </c>
    </row>
    <row r="46" spans="1:5">
      <c r="A46" s="77"/>
      <c r="B46" s="86"/>
      <c r="C46" s="84"/>
      <c r="D46" s="114"/>
      <c r="E46" s="84">
        <f t="shared" si="2"/>
        <v>0</v>
      </c>
    </row>
    <row r="47" spans="1:5" ht="13.8">
      <c r="A47" s="118" t="s">
        <v>55</v>
      </c>
      <c r="B47" s="72"/>
      <c r="C47" s="73">
        <f>SUM(C48:C53)</f>
        <v>40000</v>
      </c>
      <c r="D47" s="107">
        <f>SUM(D48:D53)</f>
        <v>0.1</v>
      </c>
      <c r="E47" s="85">
        <f>SUM(E48:E53)</f>
        <v>48000</v>
      </c>
    </row>
    <row r="48" spans="1:5">
      <c r="A48" s="77"/>
      <c r="B48" s="75"/>
      <c r="C48" s="76"/>
      <c r="D48" s="113"/>
      <c r="E48" s="76">
        <f t="shared" ref="E48:E53" si="3">+C48+(D48*D$19)</f>
        <v>0</v>
      </c>
    </row>
    <row r="49" spans="1:5">
      <c r="A49" s="151" t="s">
        <v>263</v>
      </c>
      <c r="B49" s="152">
        <v>0.1</v>
      </c>
      <c r="C49" s="76">
        <f>400000*B49</f>
        <v>40000</v>
      </c>
      <c r="D49" s="108">
        <f>+B49</f>
        <v>0.1</v>
      </c>
      <c r="E49" s="76">
        <f t="shared" si="3"/>
        <v>48000</v>
      </c>
    </row>
    <row r="50" spans="1:5">
      <c r="A50" s="77"/>
      <c r="B50" s="75"/>
      <c r="C50" s="76"/>
      <c r="D50" s="113"/>
      <c r="E50" s="76">
        <f t="shared" si="3"/>
        <v>0</v>
      </c>
    </row>
    <row r="51" spans="1:5">
      <c r="A51" s="77"/>
      <c r="B51" s="78"/>
      <c r="C51" s="76"/>
      <c r="D51" s="113"/>
      <c r="E51" s="76">
        <f t="shared" si="3"/>
        <v>0</v>
      </c>
    </row>
    <row r="52" spans="1:5">
      <c r="A52" s="77"/>
      <c r="B52" s="75"/>
      <c r="C52" s="76"/>
      <c r="D52" s="113"/>
      <c r="E52" s="76">
        <f t="shared" si="3"/>
        <v>0</v>
      </c>
    </row>
    <row r="53" spans="1:5">
      <c r="A53" s="77"/>
      <c r="B53" s="86"/>
      <c r="C53" s="84"/>
      <c r="D53" s="114"/>
      <c r="E53" s="84">
        <f t="shared" si="3"/>
        <v>0</v>
      </c>
    </row>
    <row r="54" spans="1:5" ht="13.8">
      <c r="A54" s="118" t="s">
        <v>56</v>
      </c>
      <c r="B54" s="72"/>
      <c r="C54" s="73">
        <f>SUM(C55:C60)</f>
        <v>0</v>
      </c>
      <c r="D54" s="107">
        <f>SUM(D55:D60)</f>
        <v>0</v>
      </c>
      <c r="E54" s="85">
        <f>SUM(E55:E60)</f>
        <v>0</v>
      </c>
    </row>
    <row r="55" spans="1:5">
      <c r="A55" s="77"/>
      <c r="B55" s="87"/>
      <c r="C55" s="88"/>
      <c r="D55" s="115"/>
      <c r="E55" s="76">
        <f t="shared" ref="E55:E60" si="4">+C55+(D55*D$19)</f>
        <v>0</v>
      </c>
    </row>
    <row r="56" spans="1:5">
      <c r="A56" s="77"/>
      <c r="B56" s="75"/>
      <c r="C56" s="76"/>
      <c r="D56" s="113"/>
      <c r="E56" s="76">
        <f t="shared" si="4"/>
        <v>0</v>
      </c>
    </row>
    <row r="57" spans="1:5">
      <c r="A57" s="77"/>
      <c r="B57" s="75"/>
      <c r="C57" s="76"/>
      <c r="D57" s="113"/>
      <c r="E57" s="76">
        <f t="shared" si="4"/>
        <v>0</v>
      </c>
    </row>
    <row r="58" spans="1:5">
      <c r="A58" s="77"/>
      <c r="B58" s="75"/>
      <c r="C58" s="76"/>
      <c r="D58" s="113"/>
      <c r="E58" s="76">
        <f t="shared" si="4"/>
        <v>0</v>
      </c>
    </row>
    <row r="59" spans="1:5">
      <c r="A59" s="77"/>
      <c r="B59" s="75"/>
      <c r="C59" s="76"/>
      <c r="D59" s="113"/>
      <c r="E59" s="76">
        <f t="shared" si="4"/>
        <v>0</v>
      </c>
    </row>
    <row r="60" spans="1:5">
      <c r="A60" s="77"/>
      <c r="B60" s="86"/>
      <c r="C60" s="84"/>
      <c r="D60" s="114"/>
      <c r="E60" s="84">
        <f t="shared" si="4"/>
        <v>0</v>
      </c>
    </row>
    <row r="61" spans="1:5" ht="13.8">
      <c r="A61" s="118" t="s">
        <v>57</v>
      </c>
      <c r="B61" s="72"/>
      <c r="C61" s="73">
        <f>SUM(C62:C67)</f>
        <v>20000</v>
      </c>
      <c r="D61" s="107">
        <f>SUM(D62:D67)</f>
        <v>0</v>
      </c>
      <c r="E61" s="85">
        <f>SUM(E62:E67)</f>
        <v>20000</v>
      </c>
    </row>
    <row r="62" spans="1:5">
      <c r="A62" s="77"/>
      <c r="B62" s="87"/>
      <c r="C62" s="88"/>
      <c r="D62" s="115"/>
      <c r="E62" s="76">
        <f t="shared" ref="E62:E67" si="5">+C62+(D62*D$19)</f>
        <v>0</v>
      </c>
    </row>
    <row r="63" spans="1:5">
      <c r="A63" s="151" t="s">
        <v>264</v>
      </c>
      <c r="B63" s="75"/>
      <c r="C63" s="76">
        <f>5*4000</f>
        <v>20000</v>
      </c>
      <c r="D63" s="113"/>
      <c r="E63" s="76">
        <f t="shared" si="5"/>
        <v>20000</v>
      </c>
    </row>
    <row r="64" spans="1:5">
      <c r="A64" s="77"/>
      <c r="B64" s="80"/>
      <c r="C64" s="76"/>
      <c r="D64" s="113"/>
      <c r="E64" s="76">
        <f t="shared" si="5"/>
        <v>0</v>
      </c>
    </row>
    <row r="65" spans="1:5">
      <c r="A65" s="77"/>
      <c r="B65" s="80"/>
      <c r="C65" s="76"/>
      <c r="D65" s="113"/>
      <c r="E65" s="76">
        <f t="shared" si="5"/>
        <v>0</v>
      </c>
    </row>
    <row r="66" spans="1:5">
      <c r="A66" s="77"/>
      <c r="B66" s="81"/>
      <c r="C66" s="76"/>
      <c r="D66" s="113"/>
      <c r="E66" s="76">
        <f t="shared" si="5"/>
        <v>0</v>
      </c>
    </row>
    <row r="67" spans="1:5">
      <c r="A67" s="77"/>
      <c r="B67" s="86"/>
      <c r="C67" s="84"/>
      <c r="D67" s="114"/>
      <c r="E67" s="84">
        <f t="shared" si="5"/>
        <v>0</v>
      </c>
    </row>
    <row r="68" spans="1:5" ht="13.8">
      <c r="A68" s="118" t="s">
        <v>58</v>
      </c>
      <c r="B68" s="72"/>
      <c r="C68" s="73">
        <f>SUM(C69:C74)</f>
        <v>0</v>
      </c>
      <c r="D68" s="107">
        <f>SUM(D69:D74)</f>
        <v>0</v>
      </c>
      <c r="E68" s="85">
        <f>SUM(E69:E74)</f>
        <v>0</v>
      </c>
    </row>
    <row r="69" spans="1:5">
      <c r="A69" s="77"/>
      <c r="B69" s="75"/>
      <c r="C69" s="76"/>
      <c r="D69" s="113"/>
      <c r="E69" s="76">
        <f t="shared" ref="E69:E74" si="6">+C69+(D69*D$19)</f>
        <v>0</v>
      </c>
    </row>
    <row r="70" spans="1:5">
      <c r="A70" s="77"/>
      <c r="B70" s="75"/>
      <c r="C70" s="76"/>
      <c r="D70" s="113"/>
      <c r="E70" s="76">
        <f t="shared" si="6"/>
        <v>0</v>
      </c>
    </row>
    <row r="71" spans="1:5">
      <c r="A71" s="77"/>
      <c r="B71" s="80"/>
      <c r="C71" s="76"/>
      <c r="D71" s="113"/>
      <c r="E71" s="76">
        <f t="shared" si="6"/>
        <v>0</v>
      </c>
    </row>
    <row r="72" spans="1:5">
      <c r="A72" s="77"/>
      <c r="B72" s="80"/>
      <c r="C72" s="76"/>
      <c r="D72" s="113"/>
      <c r="E72" s="76">
        <f t="shared" si="6"/>
        <v>0</v>
      </c>
    </row>
    <row r="73" spans="1:5">
      <c r="A73" s="77"/>
      <c r="B73" s="80"/>
      <c r="C73" s="76"/>
      <c r="D73" s="113"/>
      <c r="E73" s="76">
        <f t="shared" si="6"/>
        <v>0</v>
      </c>
    </row>
    <row r="74" spans="1:5">
      <c r="A74" s="77"/>
      <c r="B74" s="86"/>
      <c r="C74" s="84"/>
      <c r="D74" s="114"/>
      <c r="E74" s="84">
        <f t="shared" si="6"/>
        <v>0</v>
      </c>
    </row>
    <row r="75" spans="1:5">
      <c r="A75" s="40"/>
      <c r="B75" s="89"/>
      <c r="C75" s="90">
        <f>C33+C40+C47+C54+C61+C68</f>
        <v>256000</v>
      </c>
      <c r="D75" s="116">
        <f>D33+D40+D47+D54+D61+D68</f>
        <v>0.57000000000000006</v>
      </c>
      <c r="E75" s="90">
        <f>E33+E40+E47+E54+E61+E68</f>
        <v>301600</v>
      </c>
    </row>
    <row r="76" spans="1:5" ht="20.100000000000001" customHeight="1" thickBot="1">
      <c r="A76" s="36"/>
      <c r="B76" s="36"/>
      <c r="C76" s="91"/>
      <c r="D76" s="47" t="s">
        <v>59</v>
      </c>
      <c r="E76" s="92">
        <f>+E75</f>
        <v>301600</v>
      </c>
    </row>
    <row r="77" spans="1:5" ht="13.8" thickTop="1"/>
    <row r="78" spans="1:5">
      <c r="A78" s="93" t="s">
        <v>63</v>
      </c>
    </row>
    <row r="81" spans="1:5" ht="17.399999999999999">
      <c r="A81" s="57" t="s">
        <v>262</v>
      </c>
    </row>
    <row r="82" spans="1:5">
      <c r="E82" s="60" t="str">
        <f>+Takstberegning!B20</f>
        <v>om igen</v>
      </c>
    </row>
    <row r="83" spans="1:5">
      <c r="A83" s="178" t="s">
        <v>180</v>
      </c>
      <c r="E83" s="39">
        <f>+Takstberegning!C39+Takstberegning!C44+Takstberegning!C52+Takstberegning!C54+Takstberegning!C63+Takstberegning!C86+Takstberegning!C92+Takstberegning!C93+Takstberegning!C83</f>
        <v>1.0000000000000001E-5</v>
      </c>
    </row>
    <row r="84" spans="1:5" ht="13.8" thickBot="1">
      <c r="D84" s="179" t="s">
        <v>181</v>
      </c>
      <c r="E84" s="180">
        <f>+Takstberegning!C137</f>
        <v>1.0000000000000001E-5</v>
      </c>
    </row>
    <row r="85" spans="1:5" ht="13.8" thickBot="1">
      <c r="A85" s="93" t="s">
        <v>93</v>
      </c>
      <c r="B85" s="320">
        <v>0.05</v>
      </c>
      <c r="D85" s="182"/>
      <c r="E85" s="181">
        <f>+E83-E84</f>
        <v>0</v>
      </c>
    </row>
    <row r="86" spans="1:5">
      <c r="D86" s="94"/>
    </row>
    <row r="87" spans="1:5">
      <c r="A87" s="61" t="s">
        <v>52</v>
      </c>
      <c r="B87" s="183"/>
      <c r="D87" s="184"/>
      <c r="E87" s="185">
        <f>+E83*$B85</f>
        <v>5.0000000000000008E-7</v>
      </c>
    </row>
    <row r="88" spans="1:5">
      <c r="D88" s="94"/>
      <c r="E88" s="38"/>
    </row>
    <row r="89" spans="1:5">
      <c r="A89" s="93" t="s">
        <v>94</v>
      </c>
      <c r="D89" s="94"/>
      <c r="E89" s="177">
        <f>+E83+E87</f>
        <v>1.0500000000000001E-5</v>
      </c>
    </row>
    <row r="90" spans="1:5">
      <c r="D90" s="179" t="s">
        <v>181</v>
      </c>
      <c r="E90" s="180">
        <f>+Takstberegning!C132</f>
        <v>1.0000000000000001E-5</v>
      </c>
    </row>
    <row r="91" spans="1:5">
      <c r="D91" s="179" t="s">
        <v>182</v>
      </c>
      <c r="E91" s="181">
        <f>+E90-E89</f>
        <v>-5.000000000000003E-7</v>
      </c>
    </row>
    <row r="92" spans="1:5">
      <c r="D92" s="179" t="s">
        <v>183</v>
      </c>
      <c r="E92" s="181">
        <f>+E87-E18</f>
        <v>-301599.9999995</v>
      </c>
    </row>
  </sheetData>
  <phoneticPr fontId="0" type="noConversion"/>
  <pageMargins left="0.78740157480314965" right="0" top="0.39370078740157483" bottom="0.39370078740157483" header="0" footer="0"/>
  <pageSetup paperSize="9" scale="75" orientation="portrait" r:id="rId1"/>
  <headerFooter alignWithMargins="0"/>
  <customProperties>
    <customPr name="OrphanNamesChecked" r:id="rId2"/>
  </customPropertie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N45"/>
  <sheetViews>
    <sheetView showGridLines="0" zoomScale="80" workbookViewId="0">
      <selection activeCell="T22" sqref="T22"/>
    </sheetView>
  </sheetViews>
  <sheetFormatPr defaultColWidth="9.109375" defaultRowHeight="13.2"/>
  <cols>
    <col min="1" max="1" width="5" style="6" customWidth="1"/>
    <col min="2" max="2" width="38.109375" style="6" customWidth="1"/>
    <col min="3" max="3" width="11.109375" style="6" customWidth="1"/>
    <col min="4" max="4" width="10.33203125" style="6" bestFit="1" customWidth="1"/>
    <col min="5" max="5" width="9.33203125" style="6" bestFit="1" customWidth="1"/>
    <col min="6" max="6" width="10.6640625" style="6" customWidth="1"/>
    <col min="7" max="7" width="12.109375" style="6" customWidth="1"/>
    <col min="8" max="8" width="10.6640625" style="6" customWidth="1"/>
    <col min="9" max="9" width="12" style="6" bestFit="1" customWidth="1"/>
    <col min="10" max="10" width="11.88671875" style="6" bestFit="1" customWidth="1"/>
    <col min="11" max="11" width="13.5546875" style="6" customWidth="1"/>
    <col min="12" max="12" width="13.6640625" style="6" customWidth="1"/>
    <col min="13" max="14" width="12" style="6" customWidth="1"/>
    <col min="15" max="16384" width="9.109375" style="6"/>
  </cols>
  <sheetData>
    <row r="1" spans="1:12">
      <c r="A1" s="159" t="str">
        <f>+Fordelingsnøgler!A1</f>
        <v>BDO Statsautoriseret Revisionspartnerselskab 2025</v>
      </c>
      <c r="B1"/>
    </row>
    <row r="2" spans="1:12">
      <c r="A2" s="159" t="str">
        <f>+Fordelingsnøgler!A2</f>
        <v xml:space="preserve">Beregning af omkostningsbaserede takster </v>
      </c>
      <c r="B2"/>
    </row>
    <row r="3" spans="1:12">
      <c r="A3" s="159" t="str">
        <f>+Fordelingsnøgler!A3</f>
        <v>for tilbud mv. iht. Finansieringsbekg. (jf. SEL § 174 &amp; BL § 195)</v>
      </c>
      <c r="B3"/>
    </row>
    <row r="4" spans="1:12" ht="13.8">
      <c r="A4" s="133" t="s">
        <v>184</v>
      </c>
      <c r="B4"/>
    </row>
    <row r="5" spans="1:12" ht="13.8">
      <c r="A5" s="133"/>
      <c r="B5" s="157">
        <f>+Overhead!A5</f>
        <v>0</v>
      </c>
    </row>
    <row r="6" spans="1:12">
      <c r="A6" s="157"/>
      <c r="B6" s="157">
        <f>+Overhead!A6</f>
        <v>0</v>
      </c>
    </row>
    <row r="7" spans="1:12">
      <c r="A7" s="157"/>
      <c r="B7" s="157">
        <f>+Overhead!A7</f>
        <v>0</v>
      </c>
    </row>
    <row r="8" spans="1:12">
      <c r="A8" s="157"/>
      <c r="B8" s="367">
        <f>+Overhead!A8</f>
        <v>0</v>
      </c>
    </row>
    <row r="11" spans="1:12" ht="15.6">
      <c r="A11" s="49" t="s">
        <v>74</v>
      </c>
    </row>
    <row r="12" spans="1:12" ht="24" customHeight="1" thickBot="1">
      <c r="B12" s="7" t="s">
        <v>25</v>
      </c>
      <c r="C12" s="7" t="s">
        <v>26</v>
      </c>
      <c r="J12" s="5"/>
      <c r="K12" s="5"/>
      <c r="L12" s="5"/>
    </row>
    <row r="13" spans="1:12" ht="16.5" customHeight="1" thickBot="1">
      <c r="B13" s="8" t="s">
        <v>161</v>
      </c>
      <c r="C13" s="9">
        <f>+I19</f>
        <v>268333.33383333334</v>
      </c>
      <c r="E13" s="196">
        <v>2007</v>
      </c>
      <c r="F13" s="10" t="s">
        <v>27</v>
      </c>
      <c r="J13" s="5"/>
      <c r="K13" s="5">
        <f>+Forside!B7</f>
        <v>0</v>
      </c>
      <c r="L13" s="5"/>
    </row>
    <row r="14" spans="1:12" ht="16.5" customHeight="1" thickBot="1">
      <c r="B14" s="11" t="s">
        <v>305</v>
      </c>
      <c r="C14" s="12">
        <f>+L19</f>
        <v>107616.66660166666</v>
      </c>
      <c r="E14" s="196">
        <f>+Forside!B11</f>
        <v>0</v>
      </c>
      <c r="F14" s="5" t="s">
        <v>28</v>
      </c>
      <c r="G14" s="313">
        <v>2</v>
      </c>
      <c r="H14" s="312" t="s">
        <v>254</v>
      </c>
      <c r="K14" s="6">
        <f>+Forside!B8</f>
        <v>0</v>
      </c>
    </row>
    <row r="15" spans="1:12" ht="16.5" customHeight="1" thickBot="1">
      <c r="B15" s="13" t="s">
        <v>29</v>
      </c>
      <c r="C15" s="14">
        <f>SUM(C13:C14)</f>
        <v>375950.00043499999</v>
      </c>
      <c r="E15" s="196">
        <v>3</v>
      </c>
      <c r="J15" s="5"/>
      <c r="K15" s="5"/>
      <c r="L15" s="5"/>
    </row>
    <row r="16" spans="1:12" ht="27.75" customHeight="1">
      <c r="B16" s="15" t="s">
        <v>30</v>
      </c>
      <c r="C16" s="16"/>
      <c r="J16" s="5"/>
      <c r="K16" s="5"/>
      <c r="L16" s="5"/>
    </row>
    <row r="17" spans="1:14" ht="17.25" customHeight="1" thickBot="1">
      <c r="B17" s="17" t="s">
        <v>31</v>
      </c>
      <c r="C17" s="17" t="s">
        <v>32</v>
      </c>
      <c r="D17" s="17" t="s">
        <v>33</v>
      </c>
      <c r="E17" s="17" t="s">
        <v>34</v>
      </c>
      <c r="F17" s="17" t="s">
        <v>35</v>
      </c>
      <c r="G17" s="17" t="s">
        <v>36</v>
      </c>
      <c r="H17" s="17" t="s">
        <v>37</v>
      </c>
      <c r="I17" s="17" t="s">
        <v>38</v>
      </c>
      <c r="J17" s="17" t="s">
        <v>39</v>
      </c>
      <c r="K17" s="17" t="s">
        <v>40</v>
      </c>
      <c r="L17" s="17" t="s">
        <v>41</v>
      </c>
      <c r="M17" s="17" t="s">
        <v>42</v>
      </c>
      <c r="N17" s="17" t="s">
        <v>43</v>
      </c>
    </row>
    <row r="18" spans="1:14" ht="40.5" customHeight="1" thickBot="1">
      <c r="A18" s="13"/>
      <c r="B18" s="18" t="s">
        <v>44</v>
      </c>
      <c r="C18" s="18" t="s">
        <v>45</v>
      </c>
      <c r="D18" s="18" t="s">
        <v>46</v>
      </c>
      <c r="E18" s="18" t="s">
        <v>47</v>
      </c>
      <c r="F18" s="18" t="s">
        <v>48</v>
      </c>
      <c r="G18" s="55" t="s">
        <v>78</v>
      </c>
      <c r="H18" s="19" t="str">
        <f>"Afskrivning i " &amp;E14</f>
        <v>Afskrivning i 0</v>
      </c>
      <c r="I18" s="18" t="s">
        <v>49</v>
      </c>
      <c r="J18" s="18" t="str">
        <f>"Akk. Afskriv-ninger primo " &amp;E14</f>
        <v>Akk. Afskriv-ninger primo 0</v>
      </c>
      <c r="K18" s="18" t="str">
        <f>"Anlægskapital til forrentning, gns. " &amp;E14</f>
        <v>Anlægskapital til forrentning, gns. 0</v>
      </c>
      <c r="L18" s="18" t="str">
        <f>"Forrentning af
anlægskapital, medio " &amp;E14</f>
        <v>Forrentning af
anlægskapital, medio 0</v>
      </c>
      <c r="M18" s="18" t="str">
        <f>"Bogført værdi, primo " &amp;E14</f>
        <v>Bogført værdi, primo 0</v>
      </c>
      <c r="N18" s="19" t="str">
        <f>"Bogført værdi, ultimo " &amp;E14</f>
        <v>Bogført værdi, ultimo 0</v>
      </c>
    </row>
    <row r="19" spans="1:14" ht="18.75" customHeight="1" thickBot="1">
      <c r="A19" s="50" t="s">
        <v>77</v>
      </c>
      <c r="B19" s="56" t="s">
        <v>72</v>
      </c>
      <c r="C19" s="48">
        <f>SUM(C20:C44)</f>
        <v>6900000</v>
      </c>
      <c r="D19" s="48">
        <f>SUM(D20:D44)</f>
        <v>0</v>
      </c>
      <c r="E19" s="48"/>
      <c r="F19" s="48"/>
      <c r="G19" s="48"/>
      <c r="H19" s="48">
        <f t="shared" ref="H19:N19" si="0">SUM(H20:H44)</f>
        <v>268333.33383333334</v>
      </c>
      <c r="I19" s="48">
        <f t="shared" si="0"/>
        <v>268333.33383333334</v>
      </c>
      <c r="J19" s="48">
        <f>SUM(J20:J44)</f>
        <v>1385000.003</v>
      </c>
      <c r="K19" s="48">
        <f>SUM(K20:K44)</f>
        <v>5380833.330083333</v>
      </c>
      <c r="L19" s="48">
        <f t="shared" si="0"/>
        <v>107616.66660166666</v>
      </c>
      <c r="M19" s="48">
        <f t="shared" si="0"/>
        <v>5514999.9969999995</v>
      </c>
      <c r="N19" s="48">
        <f t="shared" si="0"/>
        <v>5246666.6631666673</v>
      </c>
    </row>
    <row r="20" spans="1:14">
      <c r="A20" s="20">
        <v>1</v>
      </c>
      <c r="B20" s="315" t="s">
        <v>75</v>
      </c>
      <c r="C20" s="315">
        <v>2000000</v>
      </c>
      <c r="D20" s="315">
        <v>0</v>
      </c>
      <c r="E20" s="317">
        <f>2004+(E$14-E$13)-E$15</f>
        <v>-6</v>
      </c>
      <c r="F20" s="51">
        <v>0</v>
      </c>
      <c r="G20" s="315">
        <v>30</v>
      </c>
      <c r="H20" s="21">
        <f>IF($G20=0,0,IF(($E$14-E20)&gt;G20,0,IF($E$14=E20,((12-F20)/12)*((C20-D20)/G20),IF(AND($E$14=E20+G20,F20&gt;0),C20-J20,I20))))</f>
        <v>66666.666666666672</v>
      </c>
      <c r="I20" s="22">
        <f t="shared" ref="I20:I44" si="1">IF($G20=0,0,IF(($E$14-E20)&gt;G20,0,IF(G20&gt;0,(C20-D20)/G20,0)))</f>
        <v>66666.666666666672</v>
      </c>
      <c r="J20" s="21">
        <f t="shared" ref="J20:J44" si="2">IF(I20=0,C20,IF((((12-F20)/12)*(I20)+(($E$14-(E20+1))*I20))&gt;C20,C20,IF($E$14=E20,0,((12-F20)/12)*(I20)+(($E$14-(E20+1))*I20))))</f>
        <v>400000.00000000006</v>
      </c>
      <c r="K20" s="21">
        <f>IF($E$14=E20,((C20+(C20-H20))/2),(C20-J20)-(0.5*I20))</f>
        <v>1566666.6666666667</v>
      </c>
      <c r="L20" s="21">
        <f>IF($E$14=E20,(((12-F20)/12)*($G$14/100))*K20,K20*($G$14/100))</f>
        <v>31333.333333333336</v>
      </c>
      <c r="M20" s="23">
        <f t="shared" ref="M20:M44" si="3">IF(E20=$E$14,0,C20-J20)</f>
        <v>1600000</v>
      </c>
      <c r="N20" s="21">
        <f>IF(E20=$E$14,C20-H20,IF(M20&lt;I20,0,M20-I20))</f>
        <v>1533333.3333333333</v>
      </c>
    </row>
    <row r="21" spans="1:14">
      <c r="A21" s="24">
        <v>2</v>
      </c>
      <c r="B21" s="316" t="s">
        <v>76</v>
      </c>
      <c r="C21" s="316">
        <v>3800000</v>
      </c>
      <c r="D21" s="316">
        <v>0</v>
      </c>
      <c r="E21" s="318">
        <f t="shared" ref="E21:E22" si="4">2004+(E$14-E$13)-E$15</f>
        <v>-6</v>
      </c>
      <c r="F21" s="52">
        <v>0</v>
      </c>
      <c r="G21" s="316">
        <v>30</v>
      </c>
      <c r="H21" s="25">
        <f t="shared" ref="H21:H44" si="5">IF($G21=0,0,IF(($E$14-E21)&gt;G21,0,IF($E$14=E21,((12-F21)/12)*((C21-D21)/G21),IF(AND($E$14=E21+G21,F21&gt;0),C21-J21,I21))))</f>
        <v>126666.66666666667</v>
      </c>
      <c r="I21" s="26">
        <f t="shared" si="1"/>
        <v>126666.66666666667</v>
      </c>
      <c r="J21" s="25">
        <f t="shared" si="2"/>
        <v>760000</v>
      </c>
      <c r="K21" s="25">
        <f t="shared" ref="K21:K44" si="6">IF($E$14=E21,((C21+(C21-H21))/2),(C21-J21)-(0.5*I21))</f>
        <v>2976666.6666666665</v>
      </c>
      <c r="L21" s="25">
        <f t="shared" ref="L21:L44" si="7">IF($E$14=E21,(((12-F21)/12)*($G$14/100))*K21,K21*($G$14/100))</f>
        <v>59533.333333333328</v>
      </c>
      <c r="M21" s="27">
        <f t="shared" si="3"/>
        <v>3040000</v>
      </c>
      <c r="N21" s="25">
        <f t="shared" ref="N21:N44" si="8">IF(E21=$E$14,C21-H21,IF(M21&lt;I21,0,M21-I21))</f>
        <v>2913333.3333333335</v>
      </c>
    </row>
    <row r="22" spans="1:14">
      <c r="A22" s="24">
        <v>3</v>
      </c>
      <c r="B22" s="316" t="s">
        <v>73</v>
      </c>
      <c r="C22" s="316">
        <v>500000</v>
      </c>
      <c r="D22" s="316">
        <v>0</v>
      </c>
      <c r="E22" s="318">
        <f t="shared" si="4"/>
        <v>-6</v>
      </c>
      <c r="F22" s="52">
        <v>0</v>
      </c>
      <c r="G22" s="316">
        <v>999999999</v>
      </c>
      <c r="H22" s="25">
        <f>IF($G22=0,0,IF(($E$14-E22)&gt;G22,0,IF($E$14=E22,((12-F22)/12)*((C22-D22)/G22),IF(AND($E$14=E22+G22,F22&gt;0),C22-J22,I22))))</f>
        <v>5.0000000050000001E-4</v>
      </c>
      <c r="I22" s="26">
        <f t="shared" si="1"/>
        <v>5.0000000050000001E-4</v>
      </c>
      <c r="J22" s="25">
        <f t="shared" si="2"/>
        <v>3.0000000029999996E-3</v>
      </c>
      <c r="K22" s="25">
        <f t="shared" si="6"/>
        <v>499999.99674999999</v>
      </c>
      <c r="L22" s="25">
        <f t="shared" si="7"/>
        <v>9999.9999349999998</v>
      </c>
      <c r="M22" s="27">
        <f t="shared" si="3"/>
        <v>499999.99699999997</v>
      </c>
      <c r="N22" s="25">
        <f t="shared" si="8"/>
        <v>499999.99649999995</v>
      </c>
    </row>
    <row r="23" spans="1:14">
      <c r="A23" s="24">
        <v>4</v>
      </c>
      <c r="B23" s="316" t="s">
        <v>64</v>
      </c>
      <c r="C23" s="316">
        <v>600000</v>
      </c>
      <c r="D23" s="316">
        <v>0</v>
      </c>
      <c r="E23" s="318">
        <f>+E14-E15</f>
        <v>-3</v>
      </c>
      <c r="F23" s="52">
        <v>0</v>
      </c>
      <c r="G23" s="316">
        <v>8</v>
      </c>
      <c r="H23" s="25">
        <f t="shared" si="5"/>
        <v>75000</v>
      </c>
      <c r="I23" s="26">
        <f t="shared" si="1"/>
        <v>75000</v>
      </c>
      <c r="J23" s="25">
        <f t="shared" si="2"/>
        <v>225000</v>
      </c>
      <c r="K23" s="25">
        <f t="shared" si="6"/>
        <v>337500</v>
      </c>
      <c r="L23" s="25">
        <f t="shared" si="7"/>
        <v>6750</v>
      </c>
      <c r="M23" s="27">
        <f t="shared" si="3"/>
        <v>375000</v>
      </c>
      <c r="N23" s="25">
        <f t="shared" si="8"/>
        <v>300000</v>
      </c>
    </row>
    <row r="24" spans="1:14">
      <c r="A24" s="24">
        <v>5</v>
      </c>
      <c r="B24" s="316"/>
      <c r="C24" s="316">
        <v>0</v>
      </c>
      <c r="D24" s="316">
        <v>0</v>
      </c>
      <c r="E24" s="318">
        <v>0</v>
      </c>
      <c r="F24" s="52">
        <v>0</v>
      </c>
      <c r="G24" s="316">
        <v>0</v>
      </c>
      <c r="H24" s="25">
        <f t="shared" si="5"/>
        <v>0</v>
      </c>
      <c r="I24" s="26">
        <f t="shared" si="1"/>
        <v>0</v>
      </c>
      <c r="J24" s="25">
        <f t="shared" si="2"/>
        <v>0</v>
      </c>
      <c r="K24" s="25">
        <f t="shared" si="6"/>
        <v>0</v>
      </c>
      <c r="L24" s="25">
        <f t="shared" si="7"/>
        <v>0</v>
      </c>
      <c r="M24" s="27">
        <f t="shared" si="3"/>
        <v>0</v>
      </c>
      <c r="N24" s="25">
        <f t="shared" si="8"/>
        <v>0</v>
      </c>
    </row>
    <row r="25" spans="1:14">
      <c r="A25" s="24">
        <v>6</v>
      </c>
      <c r="B25" s="316"/>
      <c r="C25" s="316">
        <v>0</v>
      </c>
      <c r="D25" s="316">
        <v>0</v>
      </c>
      <c r="E25" s="318">
        <v>0</v>
      </c>
      <c r="F25" s="52">
        <v>0</v>
      </c>
      <c r="G25" s="316">
        <v>0</v>
      </c>
      <c r="H25" s="25">
        <f t="shared" si="5"/>
        <v>0</v>
      </c>
      <c r="I25" s="26">
        <f t="shared" si="1"/>
        <v>0</v>
      </c>
      <c r="J25" s="25">
        <f t="shared" si="2"/>
        <v>0</v>
      </c>
      <c r="K25" s="25">
        <f t="shared" si="6"/>
        <v>0</v>
      </c>
      <c r="L25" s="25">
        <f t="shared" si="7"/>
        <v>0</v>
      </c>
      <c r="M25" s="27">
        <f t="shared" si="3"/>
        <v>0</v>
      </c>
      <c r="N25" s="25">
        <f t="shared" si="8"/>
        <v>0</v>
      </c>
    </row>
    <row r="26" spans="1:14">
      <c r="A26" s="24">
        <v>7</v>
      </c>
      <c r="B26" s="316"/>
      <c r="C26" s="316">
        <v>0</v>
      </c>
      <c r="D26" s="316">
        <v>0</v>
      </c>
      <c r="E26" s="318">
        <v>0</v>
      </c>
      <c r="F26" s="53">
        <v>0</v>
      </c>
      <c r="G26" s="316">
        <v>0</v>
      </c>
      <c r="H26" s="25">
        <f t="shared" si="5"/>
        <v>0</v>
      </c>
      <c r="I26" s="26">
        <f t="shared" si="1"/>
        <v>0</v>
      </c>
      <c r="J26" s="25">
        <f t="shared" si="2"/>
        <v>0</v>
      </c>
      <c r="K26" s="25">
        <f t="shared" si="6"/>
        <v>0</v>
      </c>
      <c r="L26" s="25">
        <f t="shared" si="7"/>
        <v>0</v>
      </c>
      <c r="M26" s="27">
        <f t="shared" si="3"/>
        <v>0</v>
      </c>
      <c r="N26" s="25">
        <f t="shared" si="8"/>
        <v>0</v>
      </c>
    </row>
    <row r="27" spans="1:14">
      <c r="A27" s="24">
        <v>8</v>
      </c>
      <c r="B27" s="316"/>
      <c r="C27" s="316">
        <v>0</v>
      </c>
      <c r="D27" s="316">
        <v>0</v>
      </c>
      <c r="E27" s="318">
        <v>0</v>
      </c>
      <c r="F27" s="53">
        <v>0</v>
      </c>
      <c r="G27" s="316">
        <v>0</v>
      </c>
      <c r="H27" s="25">
        <f t="shared" si="5"/>
        <v>0</v>
      </c>
      <c r="I27" s="26">
        <f t="shared" si="1"/>
        <v>0</v>
      </c>
      <c r="J27" s="25">
        <f t="shared" si="2"/>
        <v>0</v>
      </c>
      <c r="K27" s="25">
        <f t="shared" si="6"/>
        <v>0</v>
      </c>
      <c r="L27" s="25">
        <f t="shared" si="7"/>
        <v>0</v>
      </c>
      <c r="M27" s="27">
        <f t="shared" si="3"/>
        <v>0</v>
      </c>
      <c r="N27" s="25">
        <f t="shared" si="8"/>
        <v>0</v>
      </c>
    </row>
    <row r="28" spans="1:14">
      <c r="A28" s="24">
        <v>9</v>
      </c>
      <c r="B28" s="316"/>
      <c r="C28" s="316">
        <v>0</v>
      </c>
      <c r="D28" s="316">
        <v>0</v>
      </c>
      <c r="E28" s="318">
        <v>0</v>
      </c>
      <c r="F28" s="53">
        <v>0</v>
      </c>
      <c r="G28" s="316">
        <v>0</v>
      </c>
      <c r="H28" s="25">
        <f t="shared" si="5"/>
        <v>0</v>
      </c>
      <c r="I28" s="26">
        <f t="shared" si="1"/>
        <v>0</v>
      </c>
      <c r="J28" s="25">
        <f t="shared" si="2"/>
        <v>0</v>
      </c>
      <c r="K28" s="25">
        <f t="shared" si="6"/>
        <v>0</v>
      </c>
      <c r="L28" s="25">
        <f t="shared" si="7"/>
        <v>0</v>
      </c>
      <c r="M28" s="27">
        <f t="shared" si="3"/>
        <v>0</v>
      </c>
      <c r="N28" s="25">
        <f t="shared" si="8"/>
        <v>0</v>
      </c>
    </row>
    <row r="29" spans="1:14">
      <c r="A29" s="24">
        <v>10</v>
      </c>
      <c r="B29" s="316"/>
      <c r="C29" s="316">
        <v>0</v>
      </c>
      <c r="D29" s="316">
        <v>0</v>
      </c>
      <c r="E29" s="318">
        <v>0</v>
      </c>
      <c r="F29" s="53">
        <v>0</v>
      </c>
      <c r="G29" s="316">
        <v>0</v>
      </c>
      <c r="H29" s="25">
        <f t="shared" si="5"/>
        <v>0</v>
      </c>
      <c r="I29" s="26">
        <f t="shared" si="1"/>
        <v>0</v>
      </c>
      <c r="J29" s="25">
        <f t="shared" si="2"/>
        <v>0</v>
      </c>
      <c r="K29" s="25">
        <f t="shared" si="6"/>
        <v>0</v>
      </c>
      <c r="L29" s="25">
        <f t="shared" si="7"/>
        <v>0</v>
      </c>
      <c r="M29" s="27">
        <f t="shared" si="3"/>
        <v>0</v>
      </c>
      <c r="N29" s="25">
        <f t="shared" si="8"/>
        <v>0</v>
      </c>
    </row>
    <row r="30" spans="1:14">
      <c r="A30" s="24">
        <v>11</v>
      </c>
      <c r="B30" s="316"/>
      <c r="C30" s="316">
        <v>0</v>
      </c>
      <c r="D30" s="316">
        <v>0</v>
      </c>
      <c r="E30" s="318">
        <v>0</v>
      </c>
      <c r="F30" s="52">
        <v>0</v>
      </c>
      <c r="G30" s="316">
        <v>0</v>
      </c>
      <c r="H30" s="25">
        <f t="shared" si="5"/>
        <v>0</v>
      </c>
      <c r="I30" s="26">
        <f t="shared" si="1"/>
        <v>0</v>
      </c>
      <c r="J30" s="25">
        <f t="shared" si="2"/>
        <v>0</v>
      </c>
      <c r="K30" s="25">
        <f t="shared" si="6"/>
        <v>0</v>
      </c>
      <c r="L30" s="25">
        <f t="shared" si="7"/>
        <v>0</v>
      </c>
      <c r="M30" s="27">
        <f t="shared" si="3"/>
        <v>0</v>
      </c>
      <c r="N30" s="25">
        <f t="shared" si="8"/>
        <v>0</v>
      </c>
    </row>
    <row r="31" spans="1:14">
      <c r="A31" s="24">
        <v>12</v>
      </c>
      <c r="B31" s="316"/>
      <c r="C31" s="316">
        <v>0</v>
      </c>
      <c r="D31" s="316">
        <v>0</v>
      </c>
      <c r="E31" s="318">
        <v>0</v>
      </c>
      <c r="F31" s="52">
        <v>0</v>
      </c>
      <c r="G31" s="316">
        <v>0</v>
      </c>
      <c r="H31" s="25">
        <f t="shared" si="5"/>
        <v>0</v>
      </c>
      <c r="I31" s="26">
        <f t="shared" si="1"/>
        <v>0</v>
      </c>
      <c r="J31" s="25">
        <f t="shared" si="2"/>
        <v>0</v>
      </c>
      <c r="K31" s="25">
        <f t="shared" si="6"/>
        <v>0</v>
      </c>
      <c r="L31" s="25">
        <f t="shared" si="7"/>
        <v>0</v>
      </c>
      <c r="M31" s="27">
        <f t="shared" si="3"/>
        <v>0</v>
      </c>
      <c r="N31" s="25">
        <f t="shared" si="8"/>
        <v>0</v>
      </c>
    </row>
    <row r="32" spans="1:14">
      <c r="A32" s="24">
        <v>13</v>
      </c>
      <c r="B32" s="316"/>
      <c r="C32" s="316">
        <v>0</v>
      </c>
      <c r="D32" s="316">
        <v>0</v>
      </c>
      <c r="E32" s="318">
        <v>0</v>
      </c>
      <c r="F32" s="52">
        <v>0</v>
      </c>
      <c r="G32" s="316">
        <v>0</v>
      </c>
      <c r="H32" s="25">
        <f t="shared" si="5"/>
        <v>0</v>
      </c>
      <c r="I32" s="26">
        <f t="shared" si="1"/>
        <v>0</v>
      </c>
      <c r="J32" s="25">
        <f t="shared" si="2"/>
        <v>0</v>
      </c>
      <c r="K32" s="25">
        <f t="shared" si="6"/>
        <v>0</v>
      </c>
      <c r="L32" s="25">
        <f t="shared" si="7"/>
        <v>0</v>
      </c>
      <c r="M32" s="27">
        <f t="shared" si="3"/>
        <v>0</v>
      </c>
      <c r="N32" s="25">
        <f t="shared" si="8"/>
        <v>0</v>
      </c>
    </row>
    <row r="33" spans="1:14">
      <c r="A33" s="24">
        <v>14</v>
      </c>
      <c r="B33" s="316"/>
      <c r="C33" s="316">
        <v>0</v>
      </c>
      <c r="D33" s="316">
        <v>0</v>
      </c>
      <c r="E33" s="318">
        <v>0</v>
      </c>
      <c r="F33" s="52">
        <v>0</v>
      </c>
      <c r="G33" s="316">
        <v>0</v>
      </c>
      <c r="H33" s="25">
        <f t="shared" si="5"/>
        <v>0</v>
      </c>
      <c r="I33" s="26">
        <f t="shared" si="1"/>
        <v>0</v>
      </c>
      <c r="J33" s="25">
        <f t="shared" si="2"/>
        <v>0</v>
      </c>
      <c r="K33" s="25">
        <f t="shared" si="6"/>
        <v>0</v>
      </c>
      <c r="L33" s="25">
        <f t="shared" si="7"/>
        <v>0</v>
      </c>
      <c r="M33" s="27">
        <f t="shared" si="3"/>
        <v>0</v>
      </c>
      <c r="N33" s="25">
        <f t="shared" si="8"/>
        <v>0</v>
      </c>
    </row>
    <row r="34" spans="1:14">
      <c r="A34" s="24">
        <v>15</v>
      </c>
      <c r="B34" s="316"/>
      <c r="C34" s="316">
        <v>0</v>
      </c>
      <c r="D34" s="316">
        <v>0</v>
      </c>
      <c r="E34" s="318">
        <v>0</v>
      </c>
      <c r="F34" s="52">
        <v>0</v>
      </c>
      <c r="G34" s="316">
        <v>0</v>
      </c>
      <c r="H34" s="25">
        <f t="shared" si="5"/>
        <v>0</v>
      </c>
      <c r="I34" s="26">
        <f t="shared" si="1"/>
        <v>0</v>
      </c>
      <c r="J34" s="25">
        <f t="shared" si="2"/>
        <v>0</v>
      </c>
      <c r="K34" s="25">
        <f t="shared" si="6"/>
        <v>0</v>
      </c>
      <c r="L34" s="25">
        <f t="shared" si="7"/>
        <v>0</v>
      </c>
      <c r="M34" s="27">
        <f t="shared" si="3"/>
        <v>0</v>
      </c>
      <c r="N34" s="25">
        <f t="shared" si="8"/>
        <v>0</v>
      </c>
    </row>
    <row r="35" spans="1:14">
      <c r="A35" s="24">
        <v>16</v>
      </c>
      <c r="B35" s="316"/>
      <c r="C35" s="316">
        <v>0</v>
      </c>
      <c r="D35" s="316">
        <v>0</v>
      </c>
      <c r="E35" s="318">
        <v>0</v>
      </c>
      <c r="F35" s="52">
        <v>0</v>
      </c>
      <c r="G35" s="316">
        <v>0</v>
      </c>
      <c r="H35" s="25">
        <f t="shared" si="5"/>
        <v>0</v>
      </c>
      <c r="I35" s="26">
        <f t="shared" si="1"/>
        <v>0</v>
      </c>
      <c r="J35" s="25">
        <f t="shared" si="2"/>
        <v>0</v>
      </c>
      <c r="K35" s="25">
        <f t="shared" si="6"/>
        <v>0</v>
      </c>
      <c r="L35" s="25">
        <f t="shared" si="7"/>
        <v>0</v>
      </c>
      <c r="M35" s="27">
        <f t="shared" si="3"/>
        <v>0</v>
      </c>
      <c r="N35" s="25">
        <f t="shared" si="8"/>
        <v>0</v>
      </c>
    </row>
    <row r="36" spans="1:14">
      <c r="A36" s="24">
        <v>17</v>
      </c>
      <c r="B36" s="316"/>
      <c r="C36" s="316">
        <v>0</v>
      </c>
      <c r="D36" s="316">
        <v>0</v>
      </c>
      <c r="E36" s="318">
        <v>0</v>
      </c>
      <c r="F36" s="52">
        <v>0</v>
      </c>
      <c r="G36" s="316">
        <v>0</v>
      </c>
      <c r="H36" s="25">
        <f t="shared" si="5"/>
        <v>0</v>
      </c>
      <c r="I36" s="26">
        <f t="shared" si="1"/>
        <v>0</v>
      </c>
      <c r="J36" s="25">
        <f t="shared" si="2"/>
        <v>0</v>
      </c>
      <c r="K36" s="25">
        <f t="shared" si="6"/>
        <v>0</v>
      </c>
      <c r="L36" s="25">
        <f t="shared" si="7"/>
        <v>0</v>
      </c>
      <c r="M36" s="27">
        <f t="shared" si="3"/>
        <v>0</v>
      </c>
      <c r="N36" s="25">
        <f t="shared" si="8"/>
        <v>0</v>
      </c>
    </row>
    <row r="37" spans="1:14">
      <c r="A37" s="24">
        <v>18</v>
      </c>
      <c r="B37" s="316"/>
      <c r="C37" s="316">
        <v>0</v>
      </c>
      <c r="D37" s="316">
        <v>0</v>
      </c>
      <c r="E37" s="318">
        <v>0</v>
      </c>
      <c r="F37" s="52">
        <v>0</v>
      </c>
      <c r="G37" s="316">
        <v>0</v>
      </c>
      <c r="H37" s="25">
        <f t="shared" si="5"/>
        <v>0</v>
      </c>
      <c r="I37" s="26">
        <f t="shared" si="1"/>
        <v>0</v>
      </c>
      <c r="J37" s="25">
        <f t="shared" si="2"/>
        <v>0</v>
      </c>
      <c r="K37" s="25">
        <f t="shared" si="6"/>
        <v>0</v>
      </c>
      <c r="L37" s="25">
        <f t="shared" si="7"/>
        <v>0</v>
      </c>
      <c r="M37" s="27">
        <f t="shared" si="3"/>
        <v>0</v>
      </c>
      <c r="N37" s="25">
        <f t="shared" si="8"/>
        <v>0</v>
      </c>
    </row>
    <row r="38" spans="1:14">
      <c r="A38" s="24">
        <v>19</v>
      </c>
      <c r="B38" s="316"/>
      <c r="C38" s="316">
        <v>0</v>
      </c>
      <c r="D38" s="316">
        <v>0</v>
      </c>
      <c r="E38" s="318">
        <v>0</v>
      </c>
      <c r="F38" s="52">
        <v>0</v>
      </c>
      <c r="G38" s="316">
        <v>0</v>
      </c>
      <c r="H38" s="25">
        <f t="shared" si="5"/>
        <v>0</v>
      </c>
      <c r="I38" s="26">
        <f t="shared" si="1"/>
        <v>0</v>
      </c>
      <c r="J38" s="25">
        <f t="shared" si="2"/>
        <v>0</v>
      </c>
      <c r="K38" s="25">
        <f t="shared" si="6"/>
        <v>0</v>
      </c>
      <c r="L38" s="25">
        <f t="shared" si="7"/>
        <v>0</v>
      </c>
      <c r="M38" s="27">
        <f t="shared" si="3"/>
        <v>0</v>
      </c>
      <c r="N38" s="25">
        <f t="shared" si="8"/>
        <v>0</v>
      </c>
    </row>
    <row r="39" spans="1:14">
      <c r="A39" s="24">
        <v>20</v>
      </c>
      <c r="B39" s="316"/>
      <c r="C39" s="316">
        <v>0</v>
      </c>
      <c r="D39" s="316">
        <v>0</v>
      </c>
      <c r="E39" s="318">
        <v>0</v>
      </c>
      <c r="F39" s="52">
        <v>0</v>
      </c>
      <c r="G39" s="316">
        <v>0</v>
      </c>
      <c r="H39" s="25">
        <f t="shared" si="5"/>
        <v>0</v>
      </c>
      <c r="I39" s="26">
        <f t="shared" si="1"/>
        <v>0</v>
      </c>
      <c r="J39" s="25">
        <f t="shared" si="2"/>
        <v>0</v>
      </c>
      <c r="K39" s="25">
        <f t="shared" si="6"/>
        <v>0</v>
      </c>
      <c r="L39" s="25">
        <f t="shared" si="7"/>
        <v>0</v>
      </c>
      <c r="M39" s="27">
        <f t="shared" si="3"/>
        <v>0</v>
      </c>
      <c r="N39" s="25">
        <f t="shared" si="8"/>
        <v>0</v>
      </c>
    </row>
    <row r="40" spans="1:14">
      <c r="A40" s="24">
        <v>21</v>
      </c>
      <c r="B40" s="316"/>
      <c r="C40" s="316">
        <v>0</v>
      </c>
      <c r="D40" s="316">
        <v>0</v>
      </c>
      <c r="E40" s="318">
        <v>0</v>
      </c>
      <c r="F40" s="52">
        <v>0</v>
      </c>
      <c r="G40" s="316">
        <v>0</v>
      </c>
      <c r="H40" s="25">
        <f t="shared" si="5"/>
        <v>0</v>
      </c>
      <c r="I40" s="26">
        <f t="shared" si="1"/>
        <v>0</v>
      </c>
      <c r="J40" s="25">
        <f t="shared" si="2"/>
        <v>0</v>
      </c>
      <c r="K40" s="25">
        <f t="shared" si="6"/>
        <v>0</v>
      </c>
      <c r="L40" s="25">
        <f t="shared" si="7"/>
        <v>0</v>
      </c>
      <c r="M40" s="27">
        <f t="shared" si="3"/>
        <v>0</v>
      </c>
      <c r="N40" s="25">
        <f t="shared" si="8"/>
        <v>0</v>
      </c>
    </row>
    <row r="41" spans="1:14">
      <c r="A41" s="24">
        <v>22</v>
      </c>
      <c r="B41" s="316"/>
      <c r="C41" s="316">
        <v>0</v>
      </c>
      <c r="D41" s="316">
        <v>0</v>
      </c>
      <c r="E41" s="318">
        <v>0</v>
      </c>
      <c r="F41" s="52">
        <v>0</v>
      </c>
      <c r="G41" s="316">
        <v>0</v>
      </c>
      <c r="H41" s="25">
        <f t="shared" si="5"/>
        <v>0</v>
      </c>
      <c r="I41" s="26">
        <f t="shared" si="1"/>
        <v>0</v>
      </c>
      <c r="J41" s="25">
        <f t="shared" si="2"/>
        <v>0</v>
      </c>
      <c r="K41" s="25">
        <f t="shared" si="6"/>
        <v>0</v>
      </c>
      <c r="L41" s="25">
        <f t="shared" si="7"/>
        <v>0</v>
      </c>
      <c r="M41" s="27">
        <f t="shared" si="3"/>
        <v>0</v>
      </c>
      <c r="N41" s="25">
        <f t="shared" si="8"/>
        <v>0</v>
      </c>
    </row>
    <row r="42" spans="1:14">
      <c r="A42" s="24">
        <v>23</v>
      </c>
      <c r="B42" s="316"/>
      <c r="C42" s="316">
        <v>0</v>
      </c>
      <c r="D42" s="316">
        <v>0</v>
      </c>
      <c r="E42" s="318">
        <v>0</v>
      </c>
      <c r="F42" s="52">
        <v>0</v>
      </c>
      <c r="G42" s="316">
        <v>0</v>
      </c>
      <c r="H42" s="25">
        <f t="shared" si="5"/>
        <v>0</v>
      </c>
      <c r="I42" s="26">
        <f t="shared" si="1"/>
        <v>0</v>
      </c>
      <c r="J42" s="25">
        <f t="shared" si="2"/>
        <v>0</v>
      </c>
      <c r="K42" s="25">
        <f t="shared" si="6"/>
        <v>0</v>
      </c>
      <c r="L42" s="25">
        <f t="shared" si="7"/>
        <v>0</v>
      </c>
      <c r="M42" s="27">
        <f t="shared" si="3"/>
        <v>0</v>
      </c>
      <c r="N42" s="25">
        <f t="shared" si="8"/>
        <v>0</v>
      </c>
    </row>
    <row r="43" spans="1:14">
      <c r="A43" s="24">
        <v>24</v>
      </c>
      <c r="B43" s="316"/>
      <c r="C43" s="316">
        <v>0</v>
      </c>
      <c r="D43" s="316">
        <v>0</v>
      </c>
      <c r="E43" s="318">
        <v>0</v>
      </c>
      <c r="F43" s="52">
        <v>0</v>
      </c>
      <c r="G43" s="316">
        <v>0</v>
      </c>
      <c r="H43" s="25">
        <f t="shared" si="5"/>
        <v>0</v>
      </c>
      <c r="I43" s="26">
        <f t="shared" si="1"/>
        <v>0</v>
      </c>
      <c r="J43" s="25">
        <f t="shared" si="2"/>
        <v>0</v>
      </c>
      <c r="K43" s="25">
        <f t="shared" si="6"/>
        <v>0</v>
      </c>
      <c r="L43" s="25">
        <f t="shared" si="7"/>
        <v>0</v>
      </c>
      <c r="M43" s="27">
        <f t="shared" si="3"/>
        <v>0</v>
      </c>
      <c r="N43" s="25">
        <f t="shared" si="8"/>
        <v>0</v>
      </c>
    </row>
    <row r="44" spans="1:14" ht="13.8" thickBot="1">
      <c r="A44" s="28">
        <v>25</v>
      </c>
      <c r="B44" s="314"/>
      <c r="C44" s="314">
        <v>0</v>
      </c>
      <c r="D44" s="314">
        <v>0</v>
      </c>
      <c r="E44" s="319">
        <v>0</v>
      </c>
      <c r="F44" s="54">
        <v>0</v>
      </c>
      <c r="G44" s="314">
        <v>0</v>
      </c>
      <c r="H44" s="29">
        <f t="shared" si="5"/>
        <v>0</v>
      </c>
      <c r="I44" s="30">
        <f t="shared" si="1"/>
        <v>0</v>
      </c>
      <c r="J44" s="29">
        <f t="shared" si="2"/>
        <v>0</v>
      </c>
      <c r="K44" s="29">
        <f t="shared" si="6"/>
        <v>0</v>
      </c>
      <c r="L44" s="29">
        <f t="shared" si="7"/>
        <v>0</v>
      </c>
      <c r="M44" s="31">
        <f t="shared" si="3"/>
        <v>0</v>
      </c>
      <c r="N44" s="29">
        <f t="shared" si="8"/>
        <v>0</v>
      </c>
    </row>
    <row r="45" spans="1:14">
      <c r="C45" s="5"/>
      <c r="D45" s="5"/>
      <c r="H45" s="32">
        <f>SUM(H20:H44)</f>
        <v>268333.33383333334</v>
      </c>
      <c r="I45" s="32"/>
      <c r="J45" s="5"/>
      <c r="K45" s="5"/>
      <c r="L45" s="32">
        <f>SUM(L20:L44)</f>
        <v>107616.66660166666</v>
      </c>
      <c r="M45" s="5"/>
      <c r="N45" s="5"/>
    </row>
  </sheetData>
  <phoneticPr fontId="0" type="noConversion"/>
  <pageMargins left="0.3" right="0.26" top="0.22" bottom="0.21" header="0" footer="0"/>
  <pageSetup paperSize="9" scale="80" orientation="landscape" r:id="rId1"/>
  <headerFooter alignWithMargins="0"/>
  <customProperties>
    <customPr name="OrphanNamesChecked" r:id="rId2"/>
  </customPropertie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C25"/>
  <sheetViews>
    <sheetView workbookViewId="0">
      <selection activeCell="I14" sqref="I14"/>
    </sheetView>
  </sheetViews>
  <sheetFormatPr defaultRowHeight="13.2"/>
  <cols>
    <col min="1" max="1" width="46" customWidth="1"/>
    <col min="2" max="2" width="17.44140625" customWidth="1"/>
    <col min="3" max="3" width="12.88671875" bestFit="1" customWidth="1"/>
  </cols>
  <sheetData>
    <row r="1" spans="1:3" ht="13.8">
      <c r="A1" s="126" t="s">
        <v>114</v>
      </c>
      <c r="B1" s="4"/>
    </row>
    <row r="4" spans="1:3">
      <c r="A4" s="3" t="s">
        <v>115</v>
      </c>
    </row>
    <row r="6" spans="1:3">
      <c r="A6" s="127" t="s">
        <v>120</v>
      </c>
    </row>
    <row r="7" spans="1:3">
      <c r="A7" s="146" t="s">
        <v>284</v>
      </c>
    </row>
    <row r="8" spans="1:3">
      <c r="A8" s="146" t="s">
        <v>285</v>
      </c>
    </row>
    <row r="9" spans="1:3">
      <c r="A9" s="146" t="s">
        <v>275</v>
      </c>
      <c r="C9" s="129">
        <v>100000</v>
      </c>
    </row>
    <row r="10" spans="1:3">
      <c r="A10" s="125" t="s">
        <v>119</v>
      </c>
      <c r="C10" s="128">
        <v>0.02</v>
      </c>
    </row>
    <row r="11" spans="1:3">
      <c r="A11" s="125" t="s">
        <v>118</v>
      </c>
      <c r="C11" s="129">
        <f>+C9*C10</f>
        <v>2000</v>
      </c>
    </row>
    <row r="12" spans="1:3">
      <c r="A12" s="146" t="s">
        <v>164</v>
      </c>
      <c r="C12" s="129"/>
    </row>
    <row r="13" spans="1:3">
      <c r="A13" s="125" t="s">
        <v>121</v>
      </c>
      <c r="C13" s="130">
        <f>+C11*1.5</f>
        <v>3000</v>
      </c>
    </row>
    <row r="15" spans="1:3">
      <c r="A15" s="4"/>
    </row>
    <row r="16" spans="1:3">
      <c r="A16" s="4"/>
    </row>
    <row r="20" spans="1:3">
      <c r="A20" s="3" t="s">
        <v>116</v>
      </c>
    </row>
    <row r="22" spans="1:3">
      <c r="A22" s="127" t="s">
        <v>120</v>
      </c>
    </row>
    <row r="23" spans="1:3">
      <c r="A23" s="125" t="s">
        <v>117</v>
      </c>
      <c r="C23" s="129">
        <v>250000</v>
      </c>
    </row>
    <row r="24" spans="1:3">
      <c r="A24" s="125" t="s">
        <v>119</v>
      </c>
      <c r="C24" s="128">
        <f>+C10</f>
        <v>0.02</v>
      </c>
    </row>
    <row r="25" spans="1:3">
      <c r="A25" s="125" t="s">
        <v>118</v>
      </c>
      <c r="C25" s="130">
        <f>+C23*C24</f>
        <v>5000</v>
      </c>
    </row>
  </sheetData>
  <phoneticPr fontId="2" type="noConversion"/>
  <pageMargins left="0.75" right="0.75" top="1" bottom="1" header="0" footer="0"/>
  <pageSetup paperSize="9" orientation="portrait" r:id="rId1"/>
  <headerFooter alignWithMargins="0"/>
  <customProperties>
    <customPr name="OrphanNamesChecked"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DFB4-C76D-43B9-8027-7F1D39C8B1A1}">
  <dimension ref="A1:A20"/>
  <sheetViews>
    <sheetView workbookViewId="0">
      <selection sqref="A1:P20"/>
    </sheetView>
  </sheetViews>
  <sheetFormatPr defaultRowHeight="13.2"/>
  <sheetData>
    <row r="1" spans="1:1">
      <c r="A1" s="3" t="s">
        <v>286</v>
      </c>
    </row>
    <row r="3" spans="1:1">
      <c r="A3" s="146" t="s">
        <v>298</v>
      </c>
    </row>
    <row r="5" spans="1:1">
      <c r="A5" t="s">
        <v>288</v>
      </c>
    </row>
    <row r="6" spans="1:1">
      <c r="A6" t="s">
        <v>289</v>
      </c>
    </row>
    <row r="7" spans="1:1">
      <c r="A7" s="146" t="s">
        <v>295</v>
      </c>
    </row>
    <row r="8" spans="1:1">
      <c r="A8" s="146" t="s">
        <v>296</v>
      </c>
    </row>
    <row r="9" spans="1:1">
      <c r="A9" t="s">
        <v>290</v>
      </c>
    </row>
    <row r="10" spans="1:1">
      <c r="A10" t="s">
        <v>291</v>
      </c>
    </row>
    <row r="11" spans="1:1">
      <c r="A11" t="s">
        <v>292</v>
      </c>
    </row>
    <row r="12" spans="1:1">
      <c r="A12" t="s">
        <v>293</v>
      </c>
    </row>
    <row r="13" spans="1:1">
      <c r="A13" t="s">
        <v>287</v>
      </c>
    </row>
    <row r="14" spans="1:1">
      <c r="A14" t="s">
        <v>294</v>
      </c>
    </row>
    <row r="16" spans="1:1">
      <c r="A16" s="146" t="s">
        <v>299</v>
      </c>
    </row>
    <row r="18" spans="1:1">
      <c r="A18" s="146" t="s">
        <v>297</v>
      </c>
    </row>
    <row r="20" spans="1:1">
      <c r="A20" s="146" t="s">
        <v>300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34ccd76-7b00-4ff7-a7f6-adac6874b78b" ContentTypeId="0x01010062D89BF639934700BDA9B10A7AD3B0F600544BC4087F38224F8AE8617DA0C80D9A" PreviousValue="false"/>
</file>

<file path=customXml/item2.xml><?xml version="1.0" encoding="utf-8"?>
<ct:contentTypeSchema xmlns:ct="http://schemas.microsoft.com/office/2006/metadata/contentType" xmlns:ma="http://schemas.microsoft.com/office/2006/metadata/properties/metaAttributes" ct:_="" ma:_="" ma:contentTypeName="BDO_Excel" ma:contentTypeID="0x01010062D89BF639934700BDA9B10A7AD3B0F600544BC4087F38224F8AE8617DA0C80D9A00C4533DB8EC0A0743AD6379C0CA35651D" ma:contentTypeVersion="1" ma:contentTypeDescription="" ma:contentTypeScope="" ma:versionID="435990f045334a0a09070ab6f4b2b41b">
  <xsd:schema xmlns:xsd="http://www.w3.org/2001/XMLSchema" xmlns:xs="http://www.w3.org/2001/XMLSchema" xmlns:p="http://schemas.microsoft.com/office/2006/metadata/properties" xmlns:ns2="434f9bdf-250a-49fd-9211-5e5acf214d1b" targetNamespace="http://schemas.microsoft.com/office/2006/metadata/properties" ma:root="true" ma:fieldsID="5301a2ebae48721537e0070c48f2e980" ns2:_="">
    <xsd:import namespace="434f9bdf-250a-49fd-9211-5e5acf214d1b"/>
    <xsd:element name="properties">
      <xsd:complexType>
        <xsd:sequence>
          <xsd:element name="documentManagement">
            <xsd:complexType>
              <xsd:all>
                <xsd:element ref="ns2:k7913c702e014fddaf1908da428f2c07" minOccurs="0"/>
                <xsd:element ref="ns2:TaxCatchAll" minOccurs="0"/>
                <xsd:element ref="ns2:TaxCatchAllLabel" minOccurs="0"/>
                <xsd:element ref="ns2:ice4b73aaa5c45b2a741539642cf40d2" minOccurs="0"/>
                <xsd:element ref="ns2:BDOP_IsMasterArchive" minOccurs="0"/>
                <xsd:element ref="ns2:BDOP_CustomerNumber"/>
                <xsd:element ref="ns2:BDOP_CustomerTitle" minOccurs="0"/>
                <xsd:element ref="ns2:BDOP_CustomerName" minOccurs="0"/>
                <xsd:element ref="ns2:BDOP_CaseId" minOccurs="0"/>
                <xsd:element ref="ns2:BDOP_CaseTitle" minOccurs="0"/>
                <xsd:element ref="ns2:BDOP_CaseFolderId" minOccurs="0"/>
                <xsd:element ref="ns2:BDOP_CaseFolderName" minOccurs="0"/>
                <xsd:element ref="ns2:BDOP_Complian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f9bdf-250a-49fd-9211-5e5acf214d1b" elementFormDefault="qualified">
    <xsd:import namespace="http://schemas.microsoft.com/office/2006/documentManagement/types"/>
    <xsd:import namespace="http://schemas.microsoft.com/office/infopath/2007/PartnerControls"/>
    <xsd:element name="k7913c702e014fddaf1908da428f2c07" ma:index="8" ma:taxonomy="true" ma:internalName="k7913c702e014fddaf1908da428f2c07" ma:taxonomyFieldName="BDOP_Year" ma:displayName="År" ma:default="1;#SKAL UDFYLDES|386c59a6-03a5-4758-9eb4-fb75797854ea" ma:fieldId="{47913c70-2e01-4fdd-af19-08da428f2c07}" ma:sspId="034ccd76-7b00-4ff7-a7f6-adac6874b78b" ma:termSetId="bd0fb4a5-4f07-4db6-8c57-3f5051bb0dd5"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6b16b47-39cc-45dc-9194-59b20bae180a}" ma:internalName="TaxCatchAll" ma:showField="CatchAllData" ma:web="ba6fbef5-a922-4a09-af80-bd8091fd45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6b16b47-39cc-45dc-9194-59b20bae180a}" ma:internalName="TaxCatchAllLabel" ma:readOnly="true" ma:showField="CatchAllDataLabel" ma:web="ba6fbef5-a922-4a09-af80-bd8091fd45ca">
      <xsd:complexType>
        <xsd:complexContent>
          <xsd:extension base="dms:MultiChoiceLookup">
            <xsd:sequence>
              <xsd:element name="Value" type="dms:Lookup" maxOccurs="unbounded" minOccurs="0" nillable="true"/>
            </xsd:sequence>
          </xsd:extension>
        </xsd:complexContent>
      </xsd:complexType>
    </xsd:element>
    <xsd:element name="ice4b73aaa5c45b2a741539642cf40d2" ma:index="12" ma:taxonomy="true" ma:internalName="ice4b73aaa5c45b2a741539642cf40d2" ma:taxonomyFieldName="BDOP_Category" ma:displayName="Kategori" ma:default="2;#SKAL UDFYLDES|012e42ae-c6e5-4f97-8cb6-6e0139ab1d0b" ma:fieldId="{2ce4b73a-aa5c-45b2-a741-539642cf40d2}" ma:sspId="034ccd76-7b00-4ff7-a7f6-adac6874b78b" ma:termSetId="1c5d7eab-e4b9-45ef-8245-b9a98f1c51c6" ma:anchorId="00000000-0000-0000-0000-000000000000" ma:open="false" ma:isKeyword="false">
      <xsd:complexType>
        <xsd:sequence>
          <xsd:element ref="pc:Terms" minOccurs="0" maxOccurs="1"/>
        </xsd:sequence>
      </xsd:complexType>
    </xsd:element>
    <xsd:element name="BDOP_IsMasterArchive" ma:index="14" nillable="true" ma:displayName="Er stamarkiv" ma:internalName="BDOP_IsMasterArchive">
      <xsd:simpleType>
        <xsd:restriction base="dms:Boolean"/>
      </xsd:simpleType>
    </xsd:element>
    <xsd:element name="BDOP_CustomerNumber" ma:index="15" ma:displayName="KundeNummer" ma:default="9158" ma:internalName="BDOP_CustomerNumber">
      <xsd:simpleType>
        <xsd:restriction base="dms:Text"/>
      </xsd:simpleType>
    </xsd:element>
    <xsd:element name="BDOP_CustomerTitle" ma:index="16" nillable="true" ma:displayName="Kundetitel" ma:default="Børne- og Socialministeriet" ma:internalName="BDOP_CustomerTitle">
      <xsd:simpleType>
        <xsd:restriction base="dms:Text"/>
      </xsd:simpleType>
    </xsd:element>
    <xsd:element name="BDOP_CustomerName" ma:index="17" nillable="true" ma:displayName="Kundenavn" ma:default="Børne- og Socialministeriet" ma:internalName="BDOP_CustomerName">
      <xsd:simpleType>
        <xsd:restriction base="dms:Text"/>
      </xsd:simpleType>
    </xsd:element>
    <xsd:element name="BDOP_CaseId" ma:index="18" nillable="true" ma:displayName="SagsId" ma:default="CASE-170641" ma:internalName="BDOP_CaseId">
      <xsd:simpleType>
        <xsd:restriction base="dms:Text"/>
      </xsd:simpleType>
    </xsd:element>
    <xsd:element name="BDOP_CaseTitle" ma:index="19" nillable="true" ma:displayName="Sagsnavn" ma:default="Praksisrettet håndbog om beregning af takster" ma:internalName="BDOP_CaseTitle">
      <xsd:simpleType>
        <xsd:restriction base="dms:Text"/>
      </xsd:simpleType>
    </xsd:element>
    <xsd:element name="BDOP_CaseFolderId" ma:index="20" nillable="true" ma:displayName="SagsmappeId" ma:internalName="BDOP_CaseFolderId">
      <xsd:simpleType>
        <xsd:restriction base="dms:Text"/>
      </xsd:simpleType>
    </xsd:element>
    <xsd:element name="BDOP_CaseFolderName" ma:index="21" nillable="true" ma:displayName="Sagsmappenavn" ma:internalName="BDOP_CaseFolderName">
      <xsd:simpleType>
        <xsd:restriction base="dms:Text"/>
      </xsd:simpleType>
    </xsd:element>
    <xsd:element name="BDOP_Compliance1" ma:index="22" nillable="true" ma:displayName="Compliance" ma:default="0" ma:internalName="BDOP_Compliance1"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4f9bdf-250a-49fd-9211-5e5acf214d1b">
      <Value>4</Value>
      <Value>3</Value>
    </TaxCatchAll>
    <BDOP_IsMasterArchive xmlns="434f9bdf-250a-49fd-9211-5e5acf214d1b">false</BDOP_IsMasterArchive>
    <BDOP_CaseFolderId xmlns="434f9bdf-250a-49fd-9211-5e5acf214d1b" xsi:nil="true"/>
    <BDOP_CustomerNumber xmlns="434f9bdf-250a-49fd-9211-5e5acf214d1b">9158</BDOP_CustomerNumber>
    <k7913c702e014fddaf1908da428f2c07 xmlns="434f9bdf-250a-49fd-9211-5e5acf214d1b">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e4815a10-0575-42c6-b5f7-1c5dd9c31cb9</TermId>
        </TermInfo>
      </Terms>
    </k7913c702e014fddaf1908da428f2c07>
    <ice4b73aaa5c45b2a741539642cf40d2 xmlns="434f9bdf-250a-49fd-9211-5e5acf214d1b">
      <Terms xmlns="http://schemas.microsoft.com/office/infopath/2007/PartnerControls">
        <TermInfo xmlns="http://schemas.microsoft.com/office/infopath/2007/PartnerControls">
          <TermName xmlns="http://schemas.microsoft.com/office/infopath/2007/PartnerControls">Rådgivning og specialopgaver</TermName>
          <TermId xmlns="http://schemas.microsoft.com/office/infopath/2007/PartnerControls">a7a38320-b386-4602-87de-1841de70cc47</TermId>
        </TermInfo>
      </Terms>
    </ice4b73aaa5c45b2a741539642cf40d2>
    <BDOP_CustomerName xmlns="434f9bdf-250a-49fd-9211-5e5acf214d1b">Børne- og Socialministeriet</BDOP_CustomerName>
    <BDOP_CaseTitle xmlns="434f9bdf-250a-49fd-9211-5e5acf214d1b">Praksisrettet håndbog om beregning af takster</BDOP_CaseTitle>
    <BDOP_Compliance1 xmlns="434f9bdf-250a-49fd-9211-5e5acf214d1b">false</BDOP_Compliance1>
    <BDOP_CaseId xmlns="434f9bdf-250a-49fd-9211-5e5acf214d1b">CASE-170641</BDOP_CaseId>
    <BDOP_CustomerTitle xmlns="434f9bdf-250a-49fd-9211-5e5acf214d1b">Børne- og Socialministeriet</BDOP_CustomerTitle>
    <BDOP_CaseFolderName xmlns="434f9bdf-250a-49fd-9211-5e5acf214d1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FBA73-DAF3-46D8-891A-824E0358DAF1}">
  <ds:schemaRefs>
    <ds:schemaRef ds:uri="Microsoft.SharePoint.Taxonomy.ContentTypeSync"/>
  </ds:schemaRefs>
</ds:datastoreItem>
</file>

<file path=customXml/itemProps2.xml><?xml version="1.0" encoding="utf-8"?>
<ds:datastoreItem xmlns:ds="http://schemas.openxmlformats.org/officeDocument/2006/customXml" ds:itemID="{064703C5-C5F4-4920-9D20-B5974B12F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f9bdf-250a-49fd-9211-5e5acf214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D8D7D0-E26D-4DD3-97ED-D01464128AD0}">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434f9bdf-250a-49fd-9211-5e5acf214d1b"/>
    <ds:schemaRef ds:uri="http://schemas.microsoft.com/office/2006/metadata/properties"/>
    <ds:schemaRef ds:uri="http://www.w3.org/XML/1998/namespace"/>
    <ds:schemaRef ds:uri="http://schemas.openxmlformats.org/package/2006/metadata/core-properties"/>
  </ds:schemaRefs>
</ds:datastoreItem>
</file>

<file path=customXml/itemProps4.xml><?xml version="1.0" encoding="utf-8"?>
<ds:datastoreItem xmlns:ds="http://schemas.openxmlformats.org/officeDocument/2006/customXml" ds:itemID="{5749EFB0-2407-468A-8EDF-21D1CC94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2</vt:i4>
      </vt:variant>
    </vt:vector>
  </HeadingPairs>
  <TitlesOfParts>
    <vt:vector size="12" baseType="lpstr">
      <vt:lpstr>Forside</vt:lpstr>
      <vt:lpstr>Takstberegning</vt:lpstr>
      <vt:lpstr>Fordelingsnøgler</vt:lpstr>
      <vt:lpstr>Budget (økonomisystem)</vt:lpstr>
      <vt:lpstr>Regnskab (økonomisystem)</vt:lpstr>
      <vt:lpstr>Overhead</vt:lpstr>
      <vt:lpstr>Afskrivning og forrentning</vt:lpstr>
      <vt:lpstr>Forrentning af likvider</vt:lpstr>
      <vt:lpstr>Tidligere result</vt:lpstr>
      <vt:lpstr>Puljer</vt:lpstr>
      <vt:lpstr>'Afskrivning og forrentning'!Udskriftsområde</vt:lpstr>
      <vt:lpstr>Overhead!Udskriftstitler</vt:lpstr>
    </vt:vector>
  </TitlesOfParts>
  <Company>KR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Udvidet excel-skabelon for takstberegning på socialområdet – basis- og serviceydelser (version 2.0)</dc:title>
  <dc:creator>KR / JDJ + MT</dc:creator>
  <cp:lastModifiedBy>Anna Zangenberg</cp:lastModifiedBy>
  <cp:lastPrinted>2016-06-06T09:53:28Z</cp:lastPrinted>
  <dcterms:created xsi:type="dcterms:W3CDTF">2006-11-15T09:16:54Z</dcterms:created>
  <dcterms:modified xsi:type="dcterms:W3CDTF">2026-01-28T07:39:58Z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0x01010062D89BF639934700BDA9B10A7AD3B0F600544BC4087F38224F8AE8617DA0C80D9A00C4533DB8EC0A0743AD6379C0CA35651D</vt:lpwstr>
  </property>
  <property fmtid="{D5CDD505-2E9C-101B-9397-08002B2CF9AE}" pid="3" name="MediaServiceImageTags">
    <vt:lpwstr/>
  </property>
  <property fmtid="{D5CDD505-2E9C-101B-9397-08002B2CF9AE}" pid="4" name="BDOP_Category">
    <vt:lpwstr>4;#Rådgivning og specialopgaver|a7a38320-b386-4602-87de-1841de70cc47</vt:lpwstr>
  </property>
  <property fmtid="{D5CDD505-2E9C-101B-9397-08002B2CF9AE}" pid="5" name="BDOP_Year">
    <vt:lpwstr>3;#2025|e4815a10-0575-42c6-b5f7-1c5dd9c31cb9</vt:lpwstr>
  </property>
</Properties>
</file>